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523"/>
  </bookViews>
  <sheets>
    <sheet name="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1" name="ID_31C299ACDC7840C593BA18EFAD4BB694"/>
        <xdr:cNvPicPr>
          <a:picLocks noChangeAspect="1"/>
        </xdr:cNvPicPr>
      </xdr:nvPicPr>
      <xdr:blipFill>
        <a:blip r:embed="rId1"/>
        <a:srcRect l="3886" t="19713"/>
        <a:stretch>
          <a:fillRect/>
        </a:stretch>
      </xdr:blipFill>
      <xdr:spPr>
        <a:xfrm>
          <a:off x="3408045" y="1633855"/>
          <a:ext cx="1829435" cy="7067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" name="ID_E928273003804FE198A657B4AFF6F0E9" descr="166089795624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63925" y="3581400"/>
          <a:ext cx="1562100" cy="1146810"/>
        </a:xfrm>
        <a:prstGeom prst="rect">
          <a:avLst/>
        </a:prstGeom>
      </xdr:spPr>
    </xdr:pic>
  </etc:cellImage>
  <etc:cellImage>
    <xdr:pic>
      <xdr:nvPicPr>
        <xdr:cNvPr id="73" name="ID_4E8BCA7C0D3B4689AB1BB0AD16C5478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546475" y="5010150"/>
          <a:ext cx="1758950" cy="1000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74" name="ID_E6C4995A21A54F0C9FE53CA9912520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04920" y="6446520"/>
          <a:ext cx="941705" cy="1299845"/>
        </a:xfrm>
        <a:prstGeom prst="rect">
          <a:avLst/>
        </a:prstGeom>
      </xdr:spPr>
    </xdr:pic>
  </etc:cellImage>
  <etc:cellImage>
    <xdr:pic>
      <xdr:nvPicPr>
        <xdr:cNvPr id="84" name="ID_42CD8C89D69345B297B1B8529B68988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81705" y="8976360"/>
          <a:ext cx="1823720" cy="877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5" name="ID_B4C83B19D36E46D5B1AA865482B78B0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89680" y="10144125"/>
          <a:ext cx="1058545" cy="1460500"/>
        </a:xfrm>
        <a:prstGeom prst="rect">
          <a:avLst/>
        </a:prstGeom>
      </xdr:spPr>
    </xdr:pic>
  </etc:cellImage>
  <etc:cellImage>
    <xdr:pic>
      <xdr:nvPicPr>
        <xdr:cNvPr id="88" name="ID_AA765995C2A74190977F98B5E4F689A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70300" y="2025967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37E8631597EC4BDB8EBD1D9CBDB811B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35070" y="22271355"/>
          <a:ext cx="1058545" cy="117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1" name="ID_0E1FB66D495149F280DB942CD9A80EC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77590" y="24638000"/>
          <a:ext cx="1320165" cy="54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03" name="ID_154DA71029B64BD39C131E61F1E2798A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3622675" y="26017220"/>
          <a:ext cx="1682750" cy="7283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0" name="ID_B22DF3FAEE224ECD9F23E14891CF1794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3796030" y="28684855"/>
          <a:ext cx="984250" cy="7854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2" name="ID_F8230D6D6F6B4975AEF22DEFBC5E6128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3565525" y="29898340"/>
          <a:ext cx="1391920" cy="11817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24" name="ID_5214BB5BC1CD4AA89D8BC0D305C07F9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770630" y="32308800"/>
          <a:ext cx="885190" cy="911225"/>
        </a:xfrm>
        <a:prstGeom prst="rect">
          <a:avLst/>
        </a:prstGeom>
      </xdr:spPr>
    </xdr:pic>
  </etc:cellImage>
  <etc:cellImage>
    <xdr:pic>
      <xdr:nvPicPr>
        <xdr:cNvPr id="125" name="ID_5FD6755F2BEF480385929A8297EEF5E9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523615" y="34599245"/>
          <a:ext cx="1304925" cy="7131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1" name="ID_F4308B44C5D948068450F93FA7840504" descr=" "/>
        <xdr:cNvPicPr/>
      </xdr:nvPicPr>
      <xdr:blipFill>
        <a:blip r:embed="rId15"/>
        <a:srcRect/>
        <a:stretch>
          <a:fillRect/>
        </a:stretch>
      </xdr:blipFill>
      <xdr:spPr>
        <a:xfrm>
          <a:off x="3775710" y="35709225"/>
          <a:ext cx="699135" cy="96202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</etc:cellImage>
  <etc:cellImage>
    <xdr:pic>
      <xdr:nvPicPr>
        <xdr:cNvPr id="162" name="ID_8B687CE3A2454E2284555465CF1F693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3524885" y="37506910"/>
          <a:ext cx="1511935" cy="809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5" name="ID_90314DE9E1A04E7EA20B7A78023B44F1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543300" y="40524430"/>
          <a:ext cx="1762125" cy="798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6" name="ID_7FDFCF670E324FDC8503F56E19F0B336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3698875" y="44176950"/>
          <a:ext cx="1266190" cy="9144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7" name="ID_E4D84C8BB6BB4A458C13A8355B2F7ED8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3770630" y="45624115"/>
          <a:ext cx="975995" cy="1346835"/>
        </a:xfrm>
        <a:prstGeom prst="rect">
          <a:avLst/>
        </a:prstGeom>
      </xdr:spPr>
    </xdr:pic>
  </etc:cellImage>
  <etc:cellImage>
    <xdr:pic>
      <xdr:nvPicPr>
        <xdr:cNvPr id="168" name="ID_AEFDE60012BB47E5B9D2EE287866EADC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664585" y="48011715"/>
          <a:ext cx="1307465" cy="873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69" name="ID_AFE34C354E004E68AD4F9CB05C03E113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799205" y="50412015"/>
          <a:ext cx="751840" cy="1061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1" name="ID_FDA854CCC1594896A8D29AA6140AFC3E" descr="810001bc1c839c322027f2046f28efc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3613785" y="54217570"/>
          <a:ext cx="1468755" cy="1106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2" name="ID_B49E210127554DBC8F684A14B42D67CB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819525" y="56159400"/>
          <a:ext cx="1024890" cy="1085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3" name="ID_FDA1DCF691C14813B9CD394A5871009F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481705" y="58811160"/>
          <a:ext cx="1823720" cy="8775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4" name="ID_90E49558B3C140579B462571699A3A7A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789680" y="59978925"/>
          <a:ext cx="1058545" cy="1460500"/>
        </a:xfrm>
        <a:prstGeom prst="rect">
          <a:avLst/>
        </a:prstGeom>
      </xdr:spPr>
    </xdr:pic>
  </etc:cellImage>
  <etc:cellImage>
    <xdr:pic>
      <xdr:nvPicPr>
        <xdr:cNvPr id="175" name="ID_70DD129A167B403292E31B911AEE4DDD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3571875" y="62645925"/>
          <a:ext cx="1529715" cy="664210"/>
        </a:xfrm>
        <a:prstGeom prst="rect">
          <a:avLst/>
        </a:prstGeom>
      </xdr:spPr>
    </xdr:pic>
  </etc:cellImage>
  <etc:cellImage>
    <xdr:pic>
      <xdr:nvPicPr>
        <xdr:cNvPr id="176" name="ID_B2B6286D3F2844CFB8D80A32F16FAE3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32225" y="63569215"/>
          <a:ext cx="895985" cy="1343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77" name="ID_D9F18029B33A453080A3AF3D4A27924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556000" y="65712975"/>
          <a:ext cx="1577975" cy="739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0" name="ID_C4077FE195CA4BB4817FE36556EA2B94"/>
        <xdr:cNvPicPr>
          <a:picLocks noChangeAspect="1"/>
        </xdr:cNvPicPr>
      </xdr:nvPicPr>
      <xdr:blipFill>
        <a:blip r:embed="rId26"/>
        <a:srcRect l="11533" t="10176" r="6938" b="2307"/>
        <a:stretch>
          <a:fillRect/>
        </a:stretch>
      </xdr:blipFill>
      <xdr:spPr>
        <a:xfrm>
          <a:off x="3895090" y="68216145"/>
          <a:ext cx="1026160" cy="629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7" name="ID_DF2E06055AA64385AB88F3F4B837E1FE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71925" y="73090405"/>
          <a:ext cx="868045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9" name="ID_509523AB1760411EA2B06D2B3A3AA5E5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801110" y="74716005"/>
          <a:ext cx="1095375" cy="798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1" name="ID_7541D45C8F0742ED863F62D33FDCF54E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790315" y="84517865"/>
          <a:ext cx="875665" cy="1091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2" name="ID_6457802921994C45AD6228943980883F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727450" y="86096475"/>
          <a:ext cx="1311275" cy="1176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3" name="ID_933560DC81BB44ABBF2C9EF5B16F9019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3664585" y="89445465"/>
          <a:ext cx="1307465" cy="873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4" name="ID_8EDD9A908BD542C7929E7A5B6A09011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3799205" y="91845765"/>
          <a:ext cx="751840" cy="10617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5" name="ID_DA6CE54270D14115831C2191A15081C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3756660" y="95323025"/>
          <a:ext cx="768350" cy="9423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6" name="ID_F42802EBD9A344AB896E9017ECD95F5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17925" y="9663112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8" name="ID_A204504438584708BBF55CE2B02E8A4E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3632200" y="99239070"/>
          <a:ext cx="1795780" cy="10579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9" name="ID_5174C79983DC48E0B0380848F032882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624580" y="100830380"/>
          <a:ext cx="1109980" cy="1463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0" name="ID_510CDF8FCE6142E2B1B4072DCBE966D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60775" y="102450900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1" name="ID_217D7F54F088431AA75D9EF25B4A488C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510280" y="104453055"/>
          <a:ext cx="1795145" cy="8318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2" name="ID_1164C83A3C194D5497DC9BED4EC72042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3665855" y="105651300"/>
          <a:ext cx="1106170" cy="1526540"/>
        </a:xfrm>
        <a:prstGeom prst="rect">
          <a:avLst/>
        </a:prstGeom>
      </xdr:spPr>
    </xdr:pic>
  </etc:cellImage>
  <etc:cellImage>
    <xdr:pic>
      <xdr:nvPicPr>
        <xdr:cNvPr id="253" name="ID_DECC631996624A24ABB934080F0F216B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52825" y="107965875"/>
          <a:ext cx="1471930" cy="1558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4" name="ID_95C9777B95C94B6E88F471620584439F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3584575" y="119148225"/>
          <a:ext cx="1610360" cy="698500"/>
        </a:xfrm>
        <a:prstGeom prst="rect">
          <a:avLst/>
        </a:prstGeom>
      </xdr:spPr>
    </xdr:pic>
  </etc:cellImage>
  <etc:cellImage>
    <xdr:pic>
      <xdr:nvPicPr>
        <xdr:cNvPr id="255" name="ID_C91EF6894511482D918D411BC4D7643D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708400" y="120005475"/>
          <a:ext cx="1158875" cy="1459230"/>
        </a:xfrm>
        <a:prstGeom prst="rect">
          <a:avLst/>
        </a:prstGeom>
      </xdr:spPr>
    </xdr:pic>
  </etc:cellImage>
  <etc:cellImage>
    <xdr:pic>
      <xdr:nvPicPr>
        <xdr:cNvPr id="256" name="ID_DED71797145D4D079B7FC85D146255CF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3735070" y="121960005"/>
          <a:ext cx="1058545" cy="11747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57" name="ID_8ECB23F6DE8F447D8F092B8957AE53EA"/>
        <xdr:cNvPicPr/>
      </xdr:nvPicPr>
      <xdr:blipFill>
        <a:blip r:embed="rId39"/>
        <a:stretch>
          <a:fillRect/>
        </a:stretch>
      </xdr:blipFill>
      <xdr:spPr>
        <a:xfrm>
          <a:off x="3479800" y="124444125"/>
          <a:ext cx="1583055" cy="1083945"/>
        </a:xfrm>
        <a:prstGeom prst="rect">
          <a:avLst/>
        </a:prstGeom>
      </xdr:spPr>
    </xdr:pic>
  </etc:cellImage>
  <etc:cellImage>
    <xdr:pic>
      <xdr:nvPicPr>
        <xdr:cNvPr id="258" name="ID_24A592FC18DE4578ADF72388B8905C86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3665855" y="125749050"/>
          <a:ext cx="1043940" cy="1440815"/>
        </a:xfrm>
        <a:prstGeom prst="rect">
          <a:avLst/>
        </a:prstGeom>
      </xdr:spPr>
    </xdr:pic>
  </etc:cellImage>
  <etc:cellImage>
    <xdr:pic>
      <xdr:nvPicPr>
        <xdr:cNvPr id="259" name="ID_ECB6F379C4194092AA78343A4E12EB9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03625" y="12819697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0" name="ID_72BC858E84D24DB79174271849B7F62A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05200" y="129797175"/>
          <a:ext cx="1471930" cy="1558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1" name="ID_B9B9E8E063424FC6BE825ECA6A1B3937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3603625" y="137426700"/>
          <a:ext cx="1312545" cy="111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2" name="ID_83482A144A8749938554D908309AA91A" descr="H010 CY02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3581400" y="132871845"/>
          <a:ext cx="1724025" cy="841375"/>
        </a:xfrm>
        <a:prstGeom prst="rect">
          <a:avLst/>
        </a:prstGeom>
      </xdr:spPr>
    </xdr:pic>
  </etc:cellImage>
  <etc:cellImage>
    <xdr:pic>
      <xdr:nvPicPr>
        <xdr:cNvPr id="263" name="ID_591480814A7949919C94478A070A528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708400" y="135626475"/>
          <a:ext cx="1158875" cy="1459230"/>
        </a:xfrm>
        <a:prstGeom prst="rect">
          <a:avLst/>
        </a:prstGeom>
      </xdr:spPr>
    </xdr:pic>
  </etc:cellImage>
  <etc:cellImage>
    <xdr:pic>
      <xdr:nvPicPr>
        <xdr:cNvPr id="264" name="ID_F2B21DBA13024DE19531D7CB4F53C3ED" descr="H010 CY02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3505200" y="140559790"/>
          <a:ext cx="1800225" cy="935355"/>
        </a:xfrm>
        <a:prstGeom prst="rect">
          <a:avLst/>
        </a:prstGeom>
      </xdr:spPr>
    </xdr:pic>
  </etc:cellImage>
  <etc:cellImage>
    <xdr:pic>
      <xdr:nvPicPr>
        <xdr:cNvPr id="265" name="ID_4F6A5FB82899429A93A5D5DC5E636B6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3651250" y="143132175"/>
          <a:ext cx="1235075" cy="1459230"/>
        </a:xfrm>
        <a:prstGeom prst="rect">
          <a:avLst/>
        </a:prstGeom>
      </xdr:spPr>
    </xdr:pic>
  </etc:cellImage>
  <etc:cellImage>
    <xdr:pic>
      <xdr:nvPicPr>
        <xdr:cNvPr id="267" name="ID_F65259BCDFBF4DE8951873005AB9E84E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3725545" y="145611850"/>
          <a:ext cx="1245235" cy="778510"/>
        </a:xfrm>
        <a:prstGeom prst="rect">
          <a:avLst/>
        </a:prstGeom>
      </xdr:spPr>
    </xdr:pic>
  </etc:cellImage>
  <etc:cellImage>
    <xdr:pic>
      <xdr:nvPicPr>
        <xdr:cNvPr id="268" name="ID_FF8BC750C9CB4993A470FC8BD62CE1AA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3425190" y="150206710"/>
          <a:ext cx="1880235" cy="12052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69" name="ID_D33E395C397144FD9104FCC18C92C273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746500" y="152047575"/>
          <a:ext cx="110998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0" name="ID_0AC48F66C90D4736933BC0BC5B6C9412" descr="白底图-副本-副本-户外-20250407-153412"/>
        <xdr:cNvPicPr>
          <a:picLocks noChangeAspect="1"/>
        </xdr:cNvPicPr>
      </xdr:nvPicPr>
      <xdr:blipFill>
        <a:blip r:embed="rId47"/>
        <a:srcRect l="19258" t="47762" r="13175" b="15470"/>
        <a:stretch>
          <a:fillRect/>
        </a:stretch>
      </xdr:blipFill>
      <xdr:spPr>
        <a:xfrm>
          <a:off x="3420110" y="154195780"/>
          <a:ext cx="1885315" cy="695960"/>
        </a:xfrm>
        <a:prstGeom prst="rect">
          <a:avLst/>
        </a:prstGeom>
      </xdr:spPr>
    </xdr:pic>
  </etc:cellImage>
  <etc:cellImage>
    <xdr:pic>
      <xdr:nvPicPr>
        <xdr:cNvPr id="271" name="ID_C4672E1BB8544BB39755051856E0781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584575" y="156924375"/>
          <a:ext cx="110998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9" name="ID_15D77754EAA2401992EE9BBD1D10A80C"/>
        <xdr:cNvPicPr/>
      </xdr:nvPicPr>
      <xdr:blipFill>
        <a:blip r:embed="rId39"/>
        <a:stretch>
          <a:fillRect/>
        </a:stretch>
      </xdr:blipFill>
      <xdr:spPr>
        <a:xfrm>
          <a:off x="3479800" y="162506025"/>
          <a:ext cx="1583055" cy="1083945"/>
        </a:xfrm>
        <a:prstGeom prst="rect">
          <a:avLst/>
        </a:prstGeom>
      </xdr:spPr>
    </xdr:pic>
  </etc:cellImage>
  <etc:cellImage>
    <xdr:pic>
      <xdr:nvPicPr>
        <xdr:cNvPr id="281" name="ID_DFB98BF9781B49E2B988B45CA5B004B3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3780155" y="163706175"/>
          <a:ext cx="1043940" cy="1397000"/>
        </a:xfrm>
        <a:prstGeom prst="rect">
          <a:avLst/>
        </a:prstGeom>
      </xdr:spPr>
    </xdr:pic>
  </etc:cellImage>
  <etc:cellImage>
    <xdr:pic>
      <xdr:nvPicPr>
        <xdr:cNvPr id="283" name="ID_A067CFE6AC524320BE01ED549816DBA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84600" y="16608742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0" name="ID_8178856C88674C1C8144667320B102EE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14725" y="167830500"/>
          <a:ext cx="1471930" cy="1558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1" name="ID_466974927C0A41A1BE004864576CFC50"/>
        <xdr:cNvPicPr>
          <a:picLocks noChangeAspect="1"/>
        </xdr:cNvPicPr>
      </xdr:nvPicPr>
      <xdr:blipFill>
        <a:blip r:embed="rId26"/>
        <a:srcRect l="11533" t="10176" r="6938" b="2307"/>
        <a:stretch>
          <a:fillRect/>
        </a:stretch>
      </xdr:blipFill>
      <xdr:spPr>
        <a:xfrm>
          <a:off x="3895090" y="170724195"/>
          <a:ext cx="1026160" cy="629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2" name="ID_23C08D5F93AD44BCACF9CB29A767F60F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71925" y="175598455"/>
          <a:ext cx="868045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3" name="ID_1E104B9F7273450AA4F375C0478CD80F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3801110" y="177224055"/>
          <a:ext cx="1095375" cy="7981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4" name="ID_E32C2ADEC5C64200A447FA9AA532AC86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885565" y="187206890"/>
          <a:ext cx="875665" cy="1091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1" name="ID_7CF8B0D77BA346A99CF6F2D3677806B6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3727450" y="188604525"/>
          <a:ext cx="1311275" cy="1176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2" name="ID_AA6CA62E2CCA4AD186DC9CC6CF81693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77590" y="191820800"/>
          <a:ext cx="1320165" cy="54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3" name="ID_464CC5DA14E14FA2B935D22E62075556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3577590" y="192678050"/>
          <a:ext cx="1320165" cy="546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4" name="ID_154EEECB943740A88CE7205FD63FC4D4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3527425" y="193757550"/>
          <a:ext cx="1778000" cy="895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5" name="ID_E33086ECC1AD4C939DE959A73EF496EF" descr="599b517f106cdd1543272cd00b2861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756025" y="195014850"/>
          <a:ext cx="1549400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6" name="ID_528515231AD34F428C6C518CFDAAA3FB" descr="de1226d62b6c0b7f562ff0959a1e61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508375" y="197028435"/>
          <a:ext cx="1438910" cy="619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7" name="ID_36063AA67E284F1CB57A5868D7A06F16"/>
        <xdr:cNvPicPr>
          <a:picLocks noChangeAspect="1"/>
        </xdr:cNvPicPr>
      </xdr:nvPicPr>
      <xdr:blipFill>
        <a:blip r:embed="rId52"/>
        <a:stretch>
          <a:fillRect/>
        </a:stretch>
      </xdr:blipFill>
      <xdr:spPr>
        <a:xfrm>
          <a:off x="3409315" y="200205975"/>
          <a:ext cx="1591945" cy="1316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8" name="ID_1697B7DCF606463F90B041BCE2C99859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98850" y="202758675"/>
          <a:ext cx="1577975" cy="739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09" name="ID_9ED631C8DC654C67A92FA52B1BD1001B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584575" y="205225650"/>
          <a:ext cx="1393825" cy="799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0" name="ID_78516AF6F6064495A7CF339DE70420DB"/>
        <xdr:cNvPicPr>
          <a:picLocks noChangeAspect="1"/>
        </xdr:cNvPicPr>
      </xdr:nvPicPr>
      <xdr:blipFill>
        <a:blip r:embed="rId54"/>
        <a:stretch>
          <a:fillRect/>
        </a:stretch>
      </xdr:blipFill>
      <xdr:spPr>
        <a:xfrm>
          <a:off x="3651250" y="207711675"/>
          <a:ext cx="1099820" cy="1046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1" name="ID_1F9405D5B9A04956A7990298BF75BA38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740785" y="209721450"/>
          <a:ext cx="723265" cy="1383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2" name="ID_09E19C1407CB4EFCA9CFF8A5B9D98E93"/>
        <xdr:cNvPicPr>
          <a:picLocks noChangeAspect="1"/>
        </xdr:cNvPicPr>
      </xdr:nvPicPr>
      <xdr:blipFill>
        <a:blip r:embed="rId56"/>
        <a:stretch>
          <a:fillRect/>
        </a:stretch>
      </xdr:blipFill>
      <xdr:spPr>
        <a:xfrm>
          <a:off x="3536950" y="212159850"/>
          <a:ext cx="1768475" cy="10363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3" name="ID_7D945FF97DEE49FFB06779BC3700FBFB"/>
        <xdr:cNvPicPr>
          <a:picLocks noChangeAspect="1"/>
        </xdr:cNvPicPr>
      </xdr:nvPicPr>
      <xdr:blipFill>
        <a:blip r:embed="rId57"/>
        <a:stretch>
          <a:fillRect/>
        </a:stretch>
      </xdr:blipFill>
      <xdr:spPr>
        <a:xfrm>
          <a:off x="3860800" y="214483950"/>
          <a:ext cx="820420" cy="1082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4" name="ID_1B0342D16674460C9FFA6CCFBBB4D322"/>
        <xdr:cNvPicPr>
          <a:picLocks noChangeAspect="1"/>
        </xdr:cNvPicPr>
      </xdr:nvPicPr>
      <xdr:blipFill>
        <a:blip r:embed="rId58"/>
        <a:stretch>
          <a:fillRect/>
        </a:stretch>
      </xdr:blipFill>
      <xdr:spPr>
        <a:xfrm>
          <a:off x="3432175" y="216131775"/>
          <a:ext cx="1873250" cy="1095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5" name="ID_69A9BD16E94542CDAA26A810C3BBD692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3498850" y="218722575"/>
          <a:ext cx="1577975" cy="7391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6" name="ID_892F1A4131FF4F7B8FC1B2A843878C4B"/>
        <xdr:cNvPicPr>
          <a:picLocks noChangeAspect="1"/>
        </xdr:cNvPicPr>
      </xdr:nvPicPr>
      <xdr:blipFill>
        <a:blip r:embed="rId59"/>
        <a:stretch>
          <a:fillRect/>
        </a:stretch>
      </xdr:blipFill>
      <xdr:spPr>
        <a:xfrm>
          <a:off x="3514725" y="220888560"/>
          <a:ext cx="1520825" cy="4914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7" name="ID_8DF12324ABE346A6BFCFF54C27EEA05F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3552825" y="221700090"/>
          <a:ext cx="1317625" cy="12312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8" name="ID_1B20594704DE4DBA8FBC295DABB26A7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50945" y="222759270"/>
          <a:ext cx="870585" cy="1480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19" name="ID_D6F6D7434A0348DD9902A9E716AC74FF"/>
        <xdr:cNvPicPr>
          <a:picLocks noChangeAspect="1"/>
        </xdr:cNvPicPr>
      </xdr:nvPicPr>
      <xdr:blipFill>
        <a:blip r:embed="rId61"/>
        <a:stretch>
          <a:fillRect/>
        </a:stretch>
      </xdr:blipFill>
      <xdr:spPr>
        <a:xfrm>
          <a:off x="3583305" y="224527110"/>
          <a:ext cx="1300480" cy="11353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0" name="ID_2D858695ED7E49FD9A7473B0EA9B524D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28720" y="226003485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1" name="ID_36F1566E0B6843789985E64261D0C57D"/>
        <xdr:cNvPicPr>
          <a:picLocks noChangeAspect="1"/>
        </xdr:cNvPicPr>
      </xdr:nvPicPr>
      <xdr:blipFill>
        <a:blip r:embed="rId63"/>
        <a:stretch>
          <a:fillRect/>
        </a:stretch>
      </xdr:blipFill>
      <xdr:spPr>
        <a:xfrm>
          <a:off x="3648075" y="227504625"/>
          <a:ext cx="1657350" cy="13728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2" name="ID_371DA193186146CB8ABFBE530920DFCA"/>
        <xdr:cNvPicPr>
          <a:picLocks noChangeAspect="1"/>
        </xdr:cNvPicPr>
      </xdr:nvPicPr>
      <xdr:blipFill>
        <a:blip r:embed="rId64"/>
        <a:stretch>
          <a:fillRect/>
        </a:stretch>
      </xdr:blipFill>
      <xdr:spPr>
        <a:xfrm>
          <a:off x="3642360" y="229760780"/>
          <a:ext cx="1038225" cy="1095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3" name="ID_12DBB4AFF0A847E99202E7E7677E0D61"/>
        <xdr:cNvPicPr>
          <a:picLocks noChangeAspect="1"/>
        </xdr:cNvPicPr>
      </xdr:nvPicPr>
      <xdr:blipFill>
        <a:blip r:embed="rId65"/>
        <a:stretch>
          <a:fillRect/>
        </a:stretch>
      </xdr:blipFill>
      <xdr:spPr>
        <a:xfrm>
          <a:off x="3470275" y="232447465"/>
          <a:ext cx="1527810" cy="10102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4" name="ID_4A1D81DC6FD24C299A235084F636BAA9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3575050" y="233648250"/>
          <a:ext cx="1295400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5" name="ID_95FA7CAC44BD4C54ACC33936D68633CA"/>
        <xdr:cNvPicPr>
          <a:picLocks noChangeAspect="1"/>
        </xdr:cNvPicPr>
      </xdr:nvPicPr>
      <xdr:blipFill>
        <a:blip r:embed="rId67"/>
        <a:stretch>
          <a:fillRect/>
        </a:stretch>
      </xdr:blipFill>
      <xdr:spPr>
        <a:xfrm>
          <a:off x="3969385" y="237215045"/>
          <a:ext cx="728980" cy="15392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6" name="ID_BF54348419A6472ABB975A3340A52D7A"/>
        <xdr:cNvPicPr>
          <a:picLocks noChangeAspect="1"/>
        </xdr:cNvPicPr>
      </xdr:nvPicPr>
      <xdr:blipFill>
        <a:blip r:embed="rId68"/>
        <a:stretch>
          <a:fillRect/>
        </a:stretch>
      </xdr:blipFill>
      <xdr:spPr>
        <a:xfrm>
          <a:off x="3501390" y="242523010"/>
          <a:ext cx="1520825" cy="5549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7" name="ID_C33F186FE52B4B25ACC05703694AA20B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69665" y="243213890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8" name="ID_5C2788B7EA0945D5ABFD1438F13D84F5"/>
        <xdr:cNvPicPr>
          <a:picLocks noChangeAspect="1"/>
        </xdr:cNvPicPr>
      </xdr:nvPicPr>
      <xdr:blipFill>
        <a:blip r:embed="rId60"/>
        <a:stretch>
          <a:fillRect/>
        </a:stretch>
      </xdr:blipFill>
      <xdr:spPr>
        <a:xfrm>
          <a:off x="3463925" y="244922040"/>
          <a:ext cx="1841500" cy="16814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29" name="ID_78BAEF87B96140D8A622CEEB128E1731"/>
        <xdr:cNvPicPr>
          <a:picLocks noChangeAspect="1"/>
        </xdr:cNvPicPr>
      </xdr:nvPicPr>
      <xdr:blipFill>
        <a:blip r:embed="rId69"/>
        <a:stretch>
          <a:fillRect/>
        </a:stretch>
      </xdr:blipFill>
      <xdr:spPr>
        <a:xfrm>
          <a:off x="3606165" y="246263160"/>
          <a:ext cx="1221105" cy="894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0" name="ID_B4A01CA5ED5D4935A15EA68C269BFBE4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28720" y="247745885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1" name="ID_E1B30F75D93842448DD8362F8E6577CE"/>
        <xdr:cNvPicPr>
          <a:picLocks noChangeAspect="1"/>
        </xdr:cNvPicPr>
      </xdr:nvPicPr>
      <xdr:blipFill>
        <a:blip r:embed="rId70"/>
        <a:stretch>
          <a:fillRect/>
        </a:stretch>
      </xdr:blipFill>
      <xdr:spPr>
        <a:xfrm>
          <a:off x="3848100" y="249153680"/>
          <a:ext cx="1056005" cy="9372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2" name="ID_20565E9D971D4FDBBB77966E3FED6E9C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97300" y="250771660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3" name="ID_46F61DAF59914DB5A363E6C17CC7BAE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27450" y="25215405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4" name="ID_AE5D09C351A0466EA171B8FCDDCAB01E" descr="6d00e10db9e56c9d3a98489158be168"/>
        <xdr:cNvPicPr>
          <a:picLocks noChangeAspect="1"/>
        </xdr:cNvPicPr>
      </xdr:nvPicPr>
      <xdr:blipFill>
        <a:blip r:embed="rId71"/>
        <a:stretch>
          <a:fillRect/>
        </a:stretch>
      </xdr:blipFill>
      <xdr:spPr>
        <a:xfrm>
          <a:off x="3524250" y="254125730"/>
          <a:ext cx="1781175" cy="1142365"/>
        </a:xfrm>
        <a:prstGeom prst="rect">
          <a:avLst/>
        </a:prstGeom>
      </xdr:spPr>
    </xdr:pic>
  </etc:cellImage>
  <etc:cellImage>
    <xdr:pic>
      <xdr:nvPicPr>
        <xdr:cNvPr id="335" name="ID_3385584F7D5F4F0BAC75CB1BD2A52719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3843655" y="256478405"/>
          <a:ext cx="795655" cy="756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6" name="ID_15E704AE07E04AE1A3A8A2CB270E17CB" descr="810001bc1c839c322027f2046f28efc"/>
        <xdr:cNvPicPr>
          <a:picLocks noChangeAspect="1"/>
        </xdr:cNvPicPr>
      </xdr:nvPicPr>
      <xdr:blipFill>
        <a:blip r:embed="rId73"/>
        <a:stretch>
          <a:fillRect/>
        </a:stretch>
      </xdr:blipFill>
      <xdr:spPr>
        <a:xfrm>
          <a:off x="3609975" y="258326255"/>
          <a:ext cx="1695450" cy="1106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7" name="ID_809FA978D7244187B2893199A612A116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808730" y="260427470"/>
          <a:ext cx="723265" cy="1383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38" name="ID_B43EE20F412E4A7EAA8BF95D3624E08E" descr="615ffd73d0dc36890172332d4b4cff9b"/>
        <xdr:cNvPicPr>
          <a:picLocks noChangeAspect="1"/>
        </xdr:cNvPicPr>
      </xdr:nvPicPr>
      <xdr:blipFill>
        <a:blip r:embed="rId74"/>
        <a:stretch>
          <a:fillRect/>
        </a:stretch>
      </xdr:blipFill>
      <xdr:spPr>
        <a:xfrm>
          <a:off x="3681730" y="262482330"/>
          <a:ext cx="1051560" cy="1863725"/>
        </a:xfrm>
        <a:prstGeom prst="rect">
          <a:avLst/>
        </a:prstGeom>
      </xdr:spPr>
    </xdr:pic>
  </etc:cellImage>
  <etc:cellImage>
    <xdr:pic>
      <xdr:nvPicPr>
        <xdr:cNvPr id="339" name="ID_AD21AB4B17AD45E3A4C9FCBDCFF21205"/>
        <xdr:cNvPicPr>
          <a:picLocks noChangeAspect="1"/>
        </xdr:cNvPicPr>
      </xdr:nvPicPr>
      <xdr:blipFill>
        <a:blip r:embed="rId75"/>
        <a:stretch>
          <a:fillRect/>
        </a:stretch>
      </xdr:blipFill>
      <xdr:spPr>
        <a:xfrm>
          <a:off x="3413125" y="265210290"/>
          <a:ext cx="1777365" cy="1012190"/>
        </a:xfrm>
        <a:prstGeom prst="rect">
          <a:avLst/>
        </a:prstGeom>
      </xdr:spPr>
    </xdr:pic>
  </etc:cellImage>
  <etc:cellImage>
    <xdr:pic>
      <xdr:nvPicPr>
        <xdr:cNvPr id="340" name="ID_7836F4F42CAE485BAB4322F58C4181F0"/>
        <xdr:cNvPicPr>
          <a:picLocks noChangeAspect="1"/>
        </xdr:cNvPicPr>
      </xdr:nvPicPr>
      <xdr:blipFill>
        <a:blip r:embed="rId76"/>
        <a:stretch>
          <a:fillRect/>
        </a:stretch>
      </xdr:blipFill>
      <xdr:spPr>
        <a:xfrm>
          <a:off x="3648075" y="266420600"/>
          <a:ext cx="1143000" cy="1530350"/>
        </a:xfrm>
        <a:prstGeom prst="rect">
          <a:avLst/>
        </a:prstGeom>
      </xdr:spPr>
    </xdr:pic>
  </etc:cellImage>
  <etc:cellImage>
    <xdr:pic>
      <xdr:nvPicPr>
        <xdr:cNvPr id="341" name="ID_B44DEF97D2A847C8BE45EF7FEE3B1165"/>
        <xdr:cNvPicPr>
          <a:picLocks noChangeAspect="1"/>
        </xdr:cNvPicPr>
      </xdr:nvPicPr>
      <xdr:blipFill>
        <a:blip r:embed="rId77"/>
        <a:stretch>
          <a:fillRect/>
        </a:stretch>
      </xdr:blipFill>
      <xdr:spPr>
        <a:xfrm>
          <a:off x="3634740" y="269319375"/>
          <a:ext cx="1080135" cy="12750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2" name="ID_30910DDCBC1D4C7D8A3D97438FFC215A" descr="599b517f106cdd1543272cd00b28613"/>
        <xdr:cNvPicPr>
          <a:picLocks noChangeAspect="1"/>
        </xdr:cNvPicPr>
      </xdr:nvPicPr>
      <xdr:blipFill>
        <a:blip r:embed="rId50"/>
        <a:stretch>
          <a:fillRect/>
        </a:stretch>
      </xdr:blipFill>
      <xdr:spPr>
        <a:xfrm>
          <a:off x="3756025" y="271766030"/>
          <a:ext cx="1549400" cy="1162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3" name="ID_3BC7741271724DADA7FF3316693982D0" descr="de1226d62b6c0b7f562ff0959a1e614"/>
        <xdr:cNvPicPr>
          <a:picLocks noChangeAspect="1"/>
        </xdr:cNvPicPr>
      </xdr:nvPicPr>
      <xdr:blipFill>
        <a:blip r:embed="rId51"/>
        <a:stretch>
          <a:fillRect/>
        </a:stretch>
      </xdr:blipFill>
      <xdr:spPr>
        <a:xfrm>
          <a:off x="3508375" y="273779615"/>
          <a:ext cx="1438910" cy="619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4" name="ID_D274441D3DCA41159ACBF8B2F2C36BCE"/>
        <xdr:cNvPicPr>
          <a:picLocks noChangeAspect="1"/>
        </xdr:cNvPicPr>
      </xdr:nvPicPr>
      <xdr:blipFill>
        <a:blip r:embed="rId78"/>
        <a:stretch>
          <a:fillRect/>
        </a:stretch>
      </xdr:blipFill>
      <xdr:spPr>
        <a:xfrm>
          <a:off x="3819525" y="276709505"/>
          <a:ext cx="662305" cy="1591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5" name="ID_F3A2F42726CD439E8FBEF7EA7C052580"/>
        <xdr:cNvPicPr>
          <a:picLocks noChangeAspect="1"/>
        </xdr:cNvPicPr>
      </xdr:nvPicPr>
      <xdr:blipFill>
        <a:blip r:embed="rId79"/>
        <a:srcRect r="10505"/>
        <a:stretch>
          <a:fillRect/>
        </a:stretch>
      </xdr:blipFill>
      <xdr:spPr>
        <a:xfrm>
          <a:off x="3400425" y="279424130"/>
          <a:ext cx="1905000" cy="690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6" name="ID_3ADC8E5E6DC54D32ADB2A07A837D1D79"/>
        <xdr:cNvPicPr>
          <a:picLocks noChangeAspect="1"/>
        </xdr:cNvPicPr>
      </xdr:nvPicPr>
      <xdr:blipFill>
        <a:blip r:embed="rId80"/>
        <a:stretch>
          <a:fillRect/>
        </a:stretch>
      </xdr:blipFill>
      <xdr:spPr>
        <a:xfrm>
          <a:off x="3533775" y="280081355"/>
          <a:ext cx="1771650" cy="1127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7" name="ID_0B8FB29318B942349F314EEB869F6E2C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3432175" y="282176855"/>
          <a:ext cx="150685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8" name="ID_25DA8BB4602D4B2F8511AB9C7F96472C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28720" y="284028515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9" name="ID_C141D70236384478BFB2A857D9A0A768"/>
        <xdr:cNvPicPr>
          <a:picLocks noChangeAspect="1"/>
        </xdr:cNvPicPr>
      </xdr:nvPicPr>
      <xdr:blipFill>
        <a:blip r:embed="rId82"/>
        <a:srcRect l="30628"/>
        <a:stretch>
          <a:fillRect/>
        </a:stretch>
      </xdr:blipFill>
      <xdr:spPr>
        <a:xfrm>
          <a:off x="3933825" y="285548705"/>
          <a:ext cx="575310" cy="1318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0" name="ID_BE3881A4D00F43E198037F6070737B9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819525" y="287825180"/>
          <a:ext cx="1024890" cy="1085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1" name="ID_4C001D6B9FF44DEE838446836898B32C"/>
        <xdr:cNvPicPr>
          <a:picLocks noChangeAspect="1"/>
        </xdr:cNvPicPr>
      </xdr:nvPicPr>
      <xdr:blipFill>
        <a:blip r:embed="rId83"/>
        <a:stretch>
          <a:fillRect/>
        </a:stretch>
      </xdr:blipFill>
      <xdr:spPr>
        <a:xfrm>
          <a:off x="3424555" y="290722685"/>
          <a:ext cx="1880870" cy="863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2" name="ID_BF2B3B3726CA4955A7DF0099DF172287" descr="ba24ccfdd03a9a70f90ecaa6c134efdc_83516_2400_1600.jpg"/>
        <xdr:cNvPicPr/>
      </xdr:nvPicPr>
      <xdr:blipFill>
        <a:blip r:embed="rId84"/>
        <a:srcRect l="14844" t="17647" r="9375" b="12941"/>
        <a:stretch>
          <a:fillRect/>
        </a:stretch>
      </xdr:blipFill>
      <xdr:spPr>
        <a:xfrm>
          <a:off x="3505200" y="294225980"/>
          <a:ext cx="1457325" cy="952500"/>
        </a:xfrm>
        <a:prstGeom prst="rect">
          <a:avLst/>
        </a:prstGeom>
      </xdr:spPr>
    </xdr:pic>
  </etc:cellImage>
  <etc:cellImage>
    <xdr:pic>
      <xdr:nvPicPr>
        <xdr:cNvPr id="353" name="ID_3603674689BC4B43A0DB8F6E1E459F08"/>
        <xdr:cNvPicPr>
          <a:picLocks noChangeAspect="1"/>
        </xdr:cNvPicPr>
      </xdr:nvPicPr>
      <xdr:blipFill>
        <a:blip r:embed="rId85"/>
        <a:srcRect t="2228" r="1531" b="3632"/>
        <a:stretch>
          <a:fillRect/>
        </a:stretch>
      </xdr:blipFill>
      <xdr:spPr>
        <a:xfrm>
          <a:off x="3540760" y="295613455"/>
          <a:ext cx="1216660" cy="1082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4" name="ID_78B5F5D4962C44929AC20FA4C12DFFCF"/>
        <xdr:cNvPicPr>
          <a:picLocks noChangeAspect="1"/>
        </xdr:cNvPicPr>
      </xdr:nvPicPr>
      <xdr:blipFill>
        <a:blip r:embed="rId81"/>
        <a:stretch>
          <a:fillRect/>
        </a:stretch>
      </xdr:blipFill>
      <xdr:spPr>
        <a:xfrm>
          <a:off x="3432175" y="297264455"/>
          <a:ext cx="1506855" cy="971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5" name="ID_B40A839F07CF42E69D0D4B1F99F7EB25"/>
        <xdr:cNvPicPr>
          <a:picLocks noChangeAspect="1"/>
        </xdr:cNvPicPr>
      </xdr:nvPicPr>
      <xdr:blipFill>
        <a:blip r:embed="rId62"/>
        <a:stretch>
          <a:fillRect/>
        </a:stretch>
      </xdr:blipFill>
      <xdr:spPr>
        <a:xfrm>
          <a:off x="3728720" y="299116115"/>
          <a:ext cx="1186815" cy="13658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6" name="ID_FEB2C62AD79A414C8BB994CF833E285B"/>
        <xdr:cNvPicPr>
          <a:picLocks noChangeAspect="1"/>
        </xdr:cNvPicPr>
      </xdr:nvPicPr>
      <xdr:blipFill>
        <a:blip r:embed="rId82"/>
        <a:srcRect l="30628"/>
        <a:stretch>
          <a:fillRect/>
        </a:stretch>
      </xdr:blipFill>
      <xdr:spPr>
        <a:xfrm>
          <a:off x="3838575" y="300626780"/>
          <a:ext cx="575310" cy="1318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7" name="ID_A0E7AF0FDD974A60B8E1F6FBC58F61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3819525" y="302912780"/>
          <a:ext cx="1024890" cy="1085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8" name="ID_3C19E933357F43CCA956AC790D81B871" descr="6d00e10db9e56c9d3a98489158be168"/>
        <xdr:cNvPicPr>
          <a:picLocks noChangeAspect="1"/>
        </xdr:cNvPicPr>
      </xdr:nvPicPr>
      <xdr:blipFill>
        <a:blip r:embed="rId86"/>
        <a:stretch>
          <a:fillRect/>
        </a:stretch>
      </xdr:blipFill>
      <xdr:spPr>
        <a:xfrm>
          <a:off x="3514725" y="305875055"/>
          <a:ext cx="1790700" cy="1142365"/>
        </a:xfrm>
        <a:prstGeom prst="rect">
          <a:avLst/>
        </a:prstGeom>
      </xdr:spPr>
    </xdr:pic>
  </etc:cellImage>
  <etc:cellImage>
    <xdr:pic>
      <xdr:nvPicPr>
        <xdr:cNvPr id="359" name="ID_E34B669B5E434F6481B88EB77CC8A94B"/>
        <xdr:cNvPicPr>
          <a:picLocks noChangeAspect="1"/>
        </xdr:cNvPicPr>
      </xdr:nvPicPr>
      <xdr:blipFill>
        <a:blip r:embed="rId72"/>
        <a:stretch>
          <a:fillRect/>
        </a:stretch>
      </xdr:blipFill>
      <xdr:spPr>
        <a:xfrm>
          <a:off x="3698875" y="310399430"/>
          <a:ext cx="795655" cy="7569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1" name="ID_8408C0B75A2D4027BF07BFA8629C889B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3517900" y="316971680"/>
          <a:ext cx="1102360" cy="12230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2" name="ID_33B24F7109224EF09D982B5C33314BB4"/>
        <xdr:cNvPicPr>
          <a:picLocks noChangeAspect="1"/>
        </xdr:cNvPicPr>
      </xdr:nvPicPr>
      <xdr:blipFill>
        <a:blip r:embed="rId87"/>
        <a:stretch>
          <a:fillRect/>
        </a:stretch>
      </xdr:blipFill>
      <xdr:spPr>
        <a:xfrm>
          <a:off x="3803650" y="320286380"/>
          <a:ext cx="886460" cy="1416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3" name="ID_9398A2E1AA1E4591B7797CE2ED21807F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3416935" y="322809870"/>
          <a:ext cx="1390015" cy="1043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4" name="ID_E33E5C0EDA3F46BFB98B58CE541E725C"/>
        <xdr:cNvPicPr>
          <a:picLocks noChangeAspect="1"/>
        </xdr:cNvPicPr>
      </xdr:nvPicPr>
      <xdr:blipFill>
        <a:blip r:embed="rId55"/>
        <a:stretch>
          <a:fillRect/>
        </a:stretch>
      </xdr:blipFill>
      <xdr:spPr>
        <a:xfrm>
          <a:off x="3639820" y="325114285"/>
          <a:ext cx="723265" cy="138303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5" name="ID_F917877C8F974FEDBC7E8ED1CB84A9C6" descr="/private/var/folders/xp/qw9c86l54h1_qx24byqpv7w40000gn/T/com.kingsoft.wpsoffice.mac/picturecompress_20260208193353/output_1.jpgoutput_1"/>
        <xdr:cNvPicPr>
          <a:picLocks noChangeAspect="1"/>
        </xdr:cNvPicPr>
      </xdr:nvPicPr>
      <xdr:blipFill>
        <a:blip r:embed="rId89"/>
        <a:stretch>
          <a:fillRect/>
        </a:stretch>
      </xdr:blipFill>
      <xdr:spPr>
        <a:xfrm>
          <a:off x="3423285" y="327516490"/>
          <a:ext cx="1493520" cy="1126490"/>
        </a:xfrm>
        <a:prstGeom prst="rect">
          <a:avLst/>
        </a:prstGeom>
      </xdr:spPr>
    </xdr:pic>
  </etc:cellImage>
  <etc:cellImage>
    <xdr:pic>
      <xdr:nvPicPr>
        <xdr:cNvPr id="366" name="ID_0C4118A075D94FD09415A9F8652A3B29"/>
        <xdr:cNvPicPr>
          <a:picLocks noChangeAspect="1"/>
        </xdr:cNvPicPr>
      </xdr:nvPicPr>
      <xdr:blipFill>
        <a:blip r:embed="rId90"/>
        <a:stretch>
          <a:fillRect/>
        </a:stretch>
      </xdr:blipFill>
      <xdr:spPr>
        <a:xfrm>
          <a:off x="3422650" y="329794235"/>
          <a:ext cx="1882775" cy="12141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7" name="ID_46D47D70DF0049469F71A961055B9C29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3971925" y="333131160"/>
          <a:ext cx="868045" cy="952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8" name="ID_5AAA61F1AAA34EDB8B5D77D1C827C4F2"/>
        <xdr:cNvPicPr>
          <a:picLocks noChangeAspect="1"/>
        </xdr:cNvPicPr>
      </xdr:nvPicPr>
      <xdr:blipFill>
        <a:blip r:embed="rId91"/>
        <a:stretch>
          <a:fillRect/>
        </a:stretch>
      </xdr:blipFill>
      <xdr:spPr>
        <a:xfrm>
          <a:off x="3450590" y="334725010"/>
          <a:ext cx="1854835" cy="11760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9" name="ID_F7145EC3DD294BDFBB79795868C11387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3885565" y="337005295"/>
          <a:ext cx="875665" cy="10915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0" name="ID_B97CE384857649988F23CD76B9183E88"/>
        <xdr:cNvPicPr>
          <a:picLocks noChangeAspect="1"/>
        </xdr:cNvPicPr>
      </xdr:nvPicPr>
      <xdr:blipFill>
        <a:blip r:embed="rId92"/>
        <a:stretch>
          <a:fillRect/>
        </a:stretch>
      </xdr:blipFill>
      <xdr:spPr>
        <a:xfrm>
          <a:off x="3512185" y="338904580"/>
          <a:ext cx="1452245" cy="1069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1" name="ID_63FD70CA277440F9A6585533100FB615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690620" y="340734015"/>
          <a:ext cx="110998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2" name="ID_6A2A0A2DA44346FDBE45E609E44FF75B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3517900" y="342803480"/>
          <a:ext cx="110490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3" name="ID_5672667AE3B942858D26D48B1E1E0E24"/>
        <xdr:cNvPicPr>
          <a:picLocks noChangeAspect="1"/>
        </xdr:cNvPicPr>
      </xdr:nvPicPr>
      <xdr:blipFill>
        <a:blip r:embed="rId94"/>
        <a:stretch>
          <a:fillRect/>
        </a:stretch>
      </xdr:blipFill>
      <xdr:spPr>
        <a:xfrm>
          <a:off x="3441700" y="345462860"/>
          <a:ext cx="1863725" cy="825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4" name="ID_DA0051345DEE4648AE9253E93BCE008B"/>
        <xdr:cNvPicPr>
          <a:picLocks noChangeAspect="1"/>
        </xdr:cNvPicPr>
      </xdr:nvPicPr>
      <xdr:blipFill>
        <a:blip r:embed="rId46"/>
        <a:stretch>
          <a:fillRect/>
        </a:stretch>
      </xdr:blipFill>
      <xdr:spPr>
        <a:xfrm>
          <a:off x="3651250" y="346346780"/>
          <a:ext cx="1109980" cy="1435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5" name="ID_A80F4908A93A477BB342025CA964A2F1"/>
        <xdr:cNvPicPr>
          <a:picLocks noChangeAspect="1"/>
        </xdr:cNvPicPr>
      </xdr:nvPicPr>
      <xdr:blipFill>
        <a:blip r:embed="rId93"/>
        <a:stretch>
          <a:fillRect/>
        </a:stretch>
      </xdr:blipFill>
      <xdr:spPr>
        <a:xfrm>
          <a:off x="3546475" y="348127955"/>
          <a:ext cx="1104900" cy="11811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6" name="ID_6261D299113E45D4AC49083A907184CA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775075" y="350223455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7" name="ID_4BE121D32EE34FF1B61932DB8D87856D"/>
        <xdr:cNvPicPr>
          <a:picLocks noChangeAspect="1"/>
        </xdr:cNvPicPr>
      </xdr:nvPicPr>
      <xdr:blipFill>
        <a:blip r:embed="rId95"/>
        <a:stretch>
          <a:fillRect/>
        </a:stretch>
      </xdr:blipFill>
      <xdr:spPr>
        <a:xfrm>
          <a:off x="3630930" y="351936050"/>
          <a:ext cx="1221105" cy="1068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78" name="ID_A7410ADFB32F4E72B25CDA56919B4AE3"/>
        <xdr:cNvPicPr>
          <a:picLocks noChangeAspect="1"/>
        </xdr:cNvPicPr>
      </xdr:nvPicPr>
      <xdr:blipFill>
        <a:blip r:embed="rId96"/>
        <a:stretch>
          <a:fillRect/>
        </a:stretch>
      </xdr:blipFill>
      <xdr:spPr>
        <a:xfrm>
          <a:off x="3683000" y="355439345"/>
          <a:ext cx="1285875" cy="7023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0" name="ID_620CE3C022BC4B979986971B5EAA60BD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3543300" y="363644180"/>
          <a:ext cx="1762125" cy="11195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1" name="ID_21E3A578C76E4A2484F6EB70D37CEC35"/>
        <xdr:cNvPicPr>
          <a:picLocks noChangeAspect="1"/>
        </xdr:cNvPicPr>
      </xdr:nvPicPr>
      <xdr:blipFill>
        <a:blip r:embed="rId98"/>
        <a:stretch>
          <a:fillRect/>
        </a:stretch>
      </xdr:blipFill>
      <xdr:spPr>
        <a:xfrm>
          <a:off x="3668395" y="365486950"/>
          <a:ext cx="1306830" cy="11918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2" name="ID_EA7EEE9F64404B0FB30C813D65D6E1E3"/>
        <xdr:cNvPicPr/>
      </xdr:nvPicPr>
      <xdr:blipFill>
        <a:blip r:embed="rId99"/>
        <a:stretch>
          <a:fillRect/>
        </a:stretch>
      </xdr:blipFill>
      <xdr:spPr>
        <a:xfrm>
          <a:off x="3419475" y="367844705"/>
          <a:ext cx="1779905" cy="1152525"/>
        </a:xfrm>
        <a:prstGeom prst="rect">
          <a:avLst/>
        </a:prstGeom>
      </xdr:spPr>
    </xdr:pic>
  </etc:cellImage>
  <etc:cellImage>
    <xdr:pic>
      <xdr:nvPicPr>
        <xdr:cNvPr id="383" name="ID_1C63477CD5D048F2B91A530257D656A6"/>
        <xdr:cNvPicPr>
          <a:picLocks noChangeAspect="1"/>
        </xdr:cNvPicPr>
      </xdr:nvPicPr>
      <xdr:blipFill>
        <a:blip r:embed="rId100"/>
        <a:stretch>
          <a:fillRect/>
        </a:stretch>
      </xdr:blipFill>
      <xdr:spPr>
        <a:xfrm>
          <a:off x="3713480" y="369187730"/>
          <a:ext cx="1099185" cy="1517015"/>
        </a:xfrm>
        <a:prstGeom prst="rect">
          <a:avLst/>
        </a:prstGeom>
      </xdr:spPr>
    </xdr:pic>
  </etc:cellImage>
  <etc:cellImage>
    <xdr:pic>
      <xdr:nvPicPr>
        <xdr:cNvPr id="384" name="ID_A7757F4CC6164ECA8F0B0538AE1DFFDB"/>
        <xdr:cNvPicPr>
          <a:picLocks noChangeAspect="1"/>
        </xdr:cNvPicPr>
      </xdr:nvPicPr>
      <xdr:blipFill>
        <a:blip r:embed="rId101"/>
        <a:stretch>
          <a:fillRect/>
        </a:stretch>
      </xdr:blipFill>
      <xdr:spPr>
        <a:xfrm>
          <a:off x="3557905" y="371123210"/>
          <a:ext cx="1747520" cy="13766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5" name="ID_45347852020043C3AF5D1CB342459CC4"/>
        <xdr:cNvPicPr>
          <a:picLocks noChangeAspect="1"/>
        </xdr:cNvPicPr>
      </xdr:nvPicPr>
      <xdr:blipFill>
        <a:blip r:embed="rId102"/>
        <a:srcRect l="20955" r="18568"/>
        <a:stretch>
          <a:fillRect/>
        </a:stretch>
      </xdr:blipFill>
      <xdr:spPr>
        <a:xfrm>
          <a:off x="3844290" y="376159395"/>
          <a:ext cx="930910" cy="1431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8" name="ID_7E521F507BB14B528680AC173DB318EE"/>
        <xdr:cNvPicPr>
          <a:picLocks noChangeAspect="1"/>
        </xdr:cNvPicPr>
      </xdr:nvPicPr>
      <xdr:blipFill>
        <a:blip r:embed="rId103"/>
        <a:stretch>
          <a:fillRect/>
        </a:stretch>
      </xdr:blipFill>
      <xdr:spPr>
        <a:xfrm>
          <a:off x="3933825" y="385253230"/>
          <a:ext cx="1104900" cy="8858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89" name="ID_E73893127B4D4251AE9B9B4DA50871ED"/>
        <xdr:cNvPicPr>
          <a:picLocks noChangeAspect="1"/>
        </xdr:cNvPicPr>
      </xdr:nvPicPr>
      <xdr:blipFill>
        <a:blip r:embed="rId104"/>
        <a:stretch>
          <a:fillRect/>
        </a:stretch>
      </xdr:blipFill>
      <xdr:spPr>
        <a:xfrm>
          <a:off x="3517900" y="386380355"/>
          <a:ext cx="1787525" cy="1076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0" name="ID_D94E8798A4C2421397A6C9F8E73EB202"/>
        <xdr:cNvPicPr>
          <a:picLocks noChangeAspect="1"/>
        </xdr:cNvPicPr>
      </xdr:nvPicPr>
      <xdr:blipFill>
        <a:blip r:embed="rId105"/>
        <a:srcRect l="39786"/>
        <a:stretch>
          <a:fillRect/>
        </a:stretch>
      </xdr:blipFill>
      <xdr:spPr>
        <a:xfrm>
          <a:off x="3657600" y="388485380"/>
          <a:ext cx="1169670" cy="1050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1" name="ID_07D7665B76674C09AEEFD7C2BD88A045"/>
        <xdr:cNvPicPr>
          <a:picLocks noChangeAspect="1"/>
        </xdr:cNvPicPr>
      </xdr:nvPicPr>
      <xdr:blipFill>
        <a:blip r:embed="rId106"/>
        <a:stretch>
          <a:fillRect/>
        </a:stretch>
      </xdr:blipFill>
      <xdr:spPr>
        <a:xfrm>
          <a:off x="3603625" y="392628755"/>
          <a:ext cx="1701800" cy="12896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2" name="ID_EE5AA36393C6470DB40DB1EC899371A0"/>
        <xdr:cNvPicPr>
          <a:picLocks noChangeAspect="1"/>
        </xdr:cNvPicPr>
      </xdr:nvPicPr>
      <xdr:blipFill>
        <a:blip r:embed="rId107"/>
        <a:stretch>
          <a:fillRect/>
        </a:stretch>
      </xdr:blipFill>
      <xdr:spPr>
        <a:xfrm>
          <a:off x="3498850" y="395219555"/>
          <a:ext cx="1806575" cy="11309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3" name="ID_D82653BAC7D4455F90858E3A3976EEDD"/>
        <xdr:cNvPicPr>
          <a:picLocks noChangeAspect="1"/>
        </xdr:cNvPicPr>
      </xdr:nvPicPr>
      <xdr:blipFill>
        <a:blip r:embed="rId53"/>
        <a:stretch>
          <a:fillRect/>
        </a:stretch>
      </xdr:blipFill>
      <xdr:spPr>
        <a:xfrm>
          <a:off x="3594100" y="397867505"/>
          <a:ext cx="1393825" cy="7994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4" name="ID_5C9066243B1247009D656219DF1A72DE"/>
        <xdr:cNvPicPr>
          <a:picLocks noChangeAspect="1"/>
        </xdr:cNvPicPr>
      </xdr:nvPicPr>
      <xdr:blipFill>
        <a:blip r:embed="rId108"/>
        <a:stretch>
          <a:fillRect/>
        </a:stretch>
      </xdr:blipFill>
      <xdr:spPr>
        <a:xfrm>
          <a:off x="3679825" y="402201380"/>
          <a:ext cx="1223645" cy="11639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5" name="ID_C64F3E90950F4DF987179F495B214387"/>
        <xdr:cNvPicPr>
          <a:picLocks noChangeAspect="1"/>
        </xdr:cNvPicPr>
      </xdr:nvPicPr>
      <xdr:blipFill>
        <a:blip r:embed="rId109"/>
        <a:stretch>
          <a:fillRect/>
        </a:stretch>
      </xdr:blipFill>
      <xdr:spPr>
        <a:xfrm>
          <a:off x="3836035" y="404344505"/>
          <a:ext cx="948055" cy="14878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6" name="ID_F4330A5E75B44D7F93845FB4455D03A4"/>
        <xdr:cNvPicPr>
          <a:picLocks noChangeAspect="1"/>
        </xdr:cNvPicPr>
      </xdr:nvPicPr>
      <xdr:blipFill>
        <a:blip r:embed="rId110"/>
        <a:srcRect l="31015"/>
        <a:stretch>
          <a:fillRect/>
        </a:stretch>
      </xdr:blipFill>
      <xdr:spPr>
        <a:xfrm>
          <a:off x="3629025" y="406763855"/>
          <a:ext cx="1398270" cy="10680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7" name="ID_8871649C72CE4944A90FB8BEBC01921D"/>
        <xdr:cNvPicPr>
          <a:picLocks noChangeAspect="1"/>
        </xdr:cNvPicPr>
      </xdr:nvPicPr>
      <xdr:blipFill>
        <a:blip r:embed="rId66"/>
        <a:stretch>
          <a:fillRect/>
        </a:stretch>
      </xdr:blipFill>
      <xdr:spPr>
        <a:xfrm>
          <a:off x="3575050" y="409116530"/>
          <a:ext cx="1295400" cy="1438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8" name="ID_66DD742367724A669DFB8D818D836842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3451225" y="412840805"/>
          <a:ext cx="1390015" cy="1043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9" name="ID_BA9F07BA63204A18B402E29162DE7B02" descr="9d5e257406334073552c0746bb075e77"/>
        <xdr:cNvPicPr>
          <a:picLocks noChangeAspect="1"/>
        </xdr:cNvPicPr>
      </xdr:nvPicPr>
      <xdr:blipFill>
        <a:blip r:embed="rId111"/>
        <a:stretch>
          <a:fillRect/>
        </a:stretch>
      </xdr:blipFill>
      <xdr:spPr>
        <a:xfrm>
          <a:off x="3596640" y="414726755"/>
          <a:ext cx="1662430" cy="1093470"/>
        </a:xfrm>
        <a:prstGeom prst="rect">
          <a:avLst/>
        </a:prstGeom>
      </xdr:spPr>
    </xdr:pic>
  </etc:cellImage>
  <etc:cellImage>
    <xdr:pic>
      <xdr:nvPicPr>
        <xdr:cNvPr id="400" name="ID_29F18EA62D4E41F6BE83791E8AEC6FD2"/>
        <xdr:cNvPicPr>
          <a:picLocks noChangeAspect="1"/>
        </xdr:cNvPicPr>
      </xdr:nvPicPr>
      <xdr:blipFill>
        <a:blip r:embed="rId112"/>
        <a:stretch>
          <a:fillRect/>
        </a:stretch>
      </xdr:blipFill>
      <xdr:spPr>
        <a:xfrm>
          <a:off x="3665855" y="13298805"/>
          <a:ext cx="1024255" cy="1152525"/>
        </a:xfrm>
        <a:prstGeom prst="rect">
          <a:avLst/>
        </a:prstGeom>
      </xdr:spPr>
    </xdr:pic>
  </etc:cellImage>
  <etc:cellImage>
    <xdr:pic>
      <xdr:nvPicPr>
        <xdr:cNvPr id="401" name="ID_EC68F0B1EA374627BF368FA3C36EB404"/>
        <xdr:cNvPicPr>
          <a:picLocks noChangeAspect="1"/>
        </xdr:cNvPicPr>
      </xdr:nvPicPr>
      <xdr:blipFill>
        <a:blip r:embed="rId113"/>
        <a:stretch>
          <a:fillRect/>
        </a:stretch>
      </xdr:blipFill>
      <xdr:spPr>
        <a:xfrm>
          <a:off x="3665855" y="74303890"/>
          <a:ext cx="1043940" cy="1257300"/>
        </a:xfrm>
        <a:prstGeom prst="rect">
          <a:avLst/>
        </a:prstGeom>
      </xdr:spPr>
    </xdr:pic>
  </etc:cellImage>
  <etc:cellImage>
    <xdr:pic>
      <xdr:nvPicPr>
        <xdr:cNvPr id="402" name="ID_6CCAE8B493E64BAF97AB424FF5E2E29B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3505200" y="76770865"/>
          <a:ext cx="1471930" cy="15582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3" name="ID_4A62D7D0A6A14E3A8AC5EC5297A73C65"/>
        <xdr:cNvPicPr>
          <a:picLocks noChangeAspect="1"/>
        </xdr:cNvPicPr>
      </xdr:nvPicPr>
      <xdr:blipFill>
        <a:blip r:embed="rId114"/>
        <a:stretch>
          <a:fillRect/>
        </a:stretch>
      </xdr:blipFill>
      <xdr:spPr>
        <a:xfrm>
          <a:off x="3649345" y="9968230"/>
          <a:ext cx="1153160" cy="11506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8" name="ID_0F1652AA5CB84BA385951025F1CF028D"/>
        <xdr:cNvPicPr>
          <a:picLocks noChangeAspect="1"/>
        </xdr:cNvPicPr>
      </xdr:nvPicPr>
      <xdr:blipFill>
        <a:blip r:embed="rId115"/>
        <a:stretch>
          <a:fillRect/>
        </a:stretch>
      </xdr:blipFill>
      <xdr:spPr>
        <a:xfrm>
          <a:off x="635" y="257221990"/>
          <a:ext cx="2742565" cy="91630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9" name="ID_49279780901A48A399B76F455FBC0FBB"/>
        <xdr:cNvPicPr>
          <a:picLocks noChangeAspect="1"/>
        </xdr:cNvPicPr>
      </xdr:nvPicPr>
      <xdr:blipFill>
        <a:blip r:embed="rId116"/>
        <a:stretch>
          <a:fillRect/>
        </a:stretch>
      </xdr:blipFill>
      <xdr:spPr>
        <a:xfrm>
          <a:off x="635" y="254085725"/>
          <a:ext cx="2742565" cy="6470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0" name="ID_F53E82C0EAD241E79ED4F70B8157B0A6"/>
        <xdr:cNvPicPr>
          <a:picLocks noChangeAspect="1"/>
        </xdr:cNvPicPr>
      </xdr:nvPicPr>
      <xdr:blipFill>
        <a:blip r:embed="rId117"/>
        <a:stretch>
          <a:fillRect/>
        </a:stretch>
      </xdr:blipFill>
      <xdr:spPr>
        <a:xfrm>
          <a:off x="152400" y="251299345"/>
          <a:ext cx="2590800" cy="186499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1" name="ID_80DF280EBF124BA7949A5BCB60FC79FD"/>
        <xdr:cNvPicPr>
          <a:picLocks noChangeAspect="1"/>
        </xdr:cNvPicPr>
      </xdr:nvPicPr>
      <xdr:blipFill>
        <a:blip r:embed="rId118"/>
        <a:stretch>
          <a:fillRect/>
        </a:stretch>
      </xdr:blipFill>
      <xdr:spPr>
        <a:xfrm>
          <a:off x="212090" y="245622445"/>
          <a:ext cx="2531110" cy="1762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2" name="ID_41A809C01623450182A4D5AE58D1E7D0"/>
        <xdr:cNvPicPr>
          <a:picLocks noChangeAspect="1"/>
        </xdr:cNvPicPr>
      </xdr:nvPicPr>
      <xdr:blipFill>
        <a:blip r:embed="rId119"/>
        <a:stretch>
          <a:fillRect/>
        </a:stretch>
      </xdr:blipFill>
      <xdr:spPr>
        <a:xfrm>
          <a:off x="85725" y="237900210"/>
          <a:ext cx="2657475" cy="38004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3" name="ID_409B2FC006784F35B092BF8ECE3DED89"/>
        <xdr:cNvPicPr>
          <a:picLocks noChangeAspect="1"/>
        </xdr:cNvPicPr>
      </xdr:nvPicPr>
      <xdr:blipFill>
        <a:blip r:embed="rId120"/>
        <a:stretch>
          <a:fillRect/>
        </a:stretch>
      </xdr:blipFill>
      <xdr:spPr>
        <a:xfrm>
          <a:off x="9525" y="233483785"/>
          <a:ext cx="2733675" cy="35623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4" name="ID_1CB331E31F7348E18A44858AFA4B9DE3"/>
        <xdr:cNvPicPr>
          <a:picLocks noChangeAspect="1"/>
        </xdr:cNvPicPr>
      </xdr:nvPicPr>
      <xdr:blipFill>
        <a:blip r:embed="rId121"/>
        <a:stretch>
          <a:fillRect/>
        </a:stretch>
      </xdr:blipFill>
      <xdr:spPr>
        <a:xfrm>
          <a:off x="9525" y="226420045"/>
          <a:ext cx="2733675" cy="1457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5" name="ID_4831835C02E64D4AB35AC2786E01F9C9"/>
        <xdr:cNvPicPr>
          <a:picLocks noChangeAspect="1"/>
        </xdr:cNvPicPr>
      </xdr:nvPicPr>
      <xdr:blipFill>
        <a:blip r:embed="rId122"/>
        <a:stretch>
          <a:fillRect/>
        </a:stretch>
      </xdr:blipFill>
      <xdr:spPr>
        <a:xfrm>
          <a:off x="971550" y="223893380"/>
          <a:ext cx="1200785" cy="197421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6" name="ID_952151A075114FE38995AA2B00143835"/>
        <xdr:cNvPicPr>
          <a:picLocks noChangeAspect="1"/>
        </xdr:cNvPicPr>
      </xdr:nvPicPr>
      <xdr:blipFill>
        <a:blip r:embed="rId123"/>
        <a:stretch>
          <a:fillRect/>
        </a:stretch>
      </xdr:blipFill>
      <xdr:spPr>
        <a:xfrm>
          <a:off x="95250" y="222586550"/>
          <a:ext cx="2647950" cy="12573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7" name="ID_50E64EA3CE0845E689C49CF950D0A4F1"/>
        <xdr:cNvPicPr>
          <a:picLocks noChangeAspect="1"/>
        </xdr:cNvPicPr>
      </xdr:nvPicPr>
      <xdr:blipFill>
        <a:blip r:embed="rId124"/>
        <a:stretch>
          <a:fillRect/>
        </a:stretch>
      </xdr:blipFill>
      <xdr:spPr>
        <a:xfrm>
          <a:off x="533400" y="219614750"/>
          <a:ext cx="1578610" cy="30816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8" name="ID_72E2927770314A7998811D3C422E6EAC"/>
        <xdr:cNvPicPr>
          <a:picLocks noChangeAspect="1"/>
        </xdr:cNvPicPr>
      </xdr:nvPicPr>
      <xdr:blipFill>
        <a:blip r:embed="rId125"/>
        <a:stretch>
          <a:fillRect/>
        </a:stretch>
      </xdr:blipFill>
      <xdr:spPr>
        <a:xfrm>
          <a:off x="9525" y="213233000"/>
          <a:ext cx="2733675" cy="828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9" name="ID_30887972114F4E3C91CA7B0F2E026AA2"/>
        <xdr:cNvPicPr>
          <a:picLocks noChangeAspect="1"/>
        </xdr:cNvPicPr>
      </xdr:nvPicPr>
      <xdr:blipFill>
        <a:blip r:embed="rId126"/>
        <a:stretch>
          <a:fillRect/>
        </a:stretch>
      </xdr:blipFill>
      <xdr:spPr>
        <a:xfrm>
          <a:off x="28575" y="204542390"/>
          <a:ext cx="2714625" cy="3619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0" name="ID_21608CD1556F4127A3FA94BBA827357E"/>
        <xdr:cNvPicPr>
          <a:picLocks noChangeAspect="1"/>
        </xdr:cNvPicPr>
      </xdr:nvPicPr>
      <xdr:blipFill>
        <a:blip r:embed="rId127"/>
        <a:stretch>
          <a:fillRect/>
        </a:stretch>
      </xdr:blipFill>
      <xdr:spPr>
        <a:xfrm>
          <a:off x="885825" y="191783335"/>
          <a:ext cx="763270" cy="1759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1" name="ID_6F5F8131354C4B388CFB028CEDE3912B"/>
        <xdr:cNvPicPr>
          <a:picLocks noChangeAspect="1"/>
        </xdr:cNvPicPr>
      </xdr:nvPicPr>
      <xdr:blipFill>
        <a:blip r:embed="rId128"/>
        <a:stretch>
          <a:fillRect/>
        </a:stretch>
      </xdr:blipFill>
      <xdr:spPr>
        <a:xfrm>
          <a:off x="152400" y="195779390"/>
          <a:ext cx="2590800" cy="49244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2" name="ID_2ABE735315D14A8ABA9DD9D450B27191"/>
        <xdr:cNvPicPr>
          <a:picLocks noChangeAspect="1"/>
        </xdr:cNvPicPr>
      </xdr:nvPicPr>
      <xdr:blipFill>
        <a:blip r:embed="rId129"/>
        <a:stretch>
          <a:fillRect/>
        </a:stretch>
      </xdr:blipFill>
      <xdr:spPr>
        <a:xfrm>
          <a:off x="76200" y="187371990"/>
          <a:ext cx="2667000" cy="137096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3" name="ID_379C9FD242B54B0AA1162681B9B9A727"/>
        <xdr:cNvPicPr>
          <a:picLocks noChangeAspect="1"/>
        </xdr:cNvPicPr>
      </xdr:nvPicPr>
      <xdr:blipFill>
        <a:blip r:embed="rId130"/>
        <a:stretch>
          <a:fillRect/>
        </a:stretch>
      </xdr:blipFill>
      <xdr:spPr>
        <a:xfrm>
          <a:off x="171450" y="182953025"/>
          <a:ext cx="2143125" cy="31343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5" name="ID_A7434EB9309F4DE88FD37A7FB349C7B0"/>
        <xdr:cNvPicPr>
          <a:picLocks noChangeAspect="1"/>
        </xdr:cNvPicPr>
      </xdr:nvPicPr>
      <xdr:blipFill>
        <a:blip r:embed="rId131"/>
        <a:stretch>
          <a:fillRect/>
        </a:stretch>
      </xdr:blipFill>
      <xdr:spPr>
        <a:xfrm>
          <a:off x="247650" y="165032690"/>
          <a:ext cx="2495550" cy="590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6" name="ID_30FD557A771547D7AD4AB520A3D7CAE2"/>
        <xdr:cNvPicPr>
          <a:picLocks noChangeAspect="1"/>
        </xdr:cNvPicPr>
      </xdr:nvPicPr>
      <xdr:blipFill>
        <a:blip r:embed="rId132"/>
        <a:stretch>
          <a:fillRect/>
        </a:stretch>
      </xdr:blipFill>
      <xdr:spPr>
        <a:xfrm>
          <a:off x="85725" y="159467550"/>
          <a:ext cx="2657475" cy="9906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7" name="ID_8A92C953CAAF4A21B1C005D865105956"/>
        <xdr:cNvPicPr>
          <a:picLocks noChangeAspect="1"/>
        </xdr:cNvPicPr>
      </xdr:nvPicPr>
      <xdr:blipFill>
        <a:blip r:embed="rId133"/>
        <a:stretch>
          <a:fillRect/>
        </a:stretch>
      </xdr:blipFill>
      <xdr:spPr>
        <a:xfrm>
          <a:off x="28575" y="155028265"/>
          <a:ext cx="2714625" cy="40201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8" name="ID_5ECE0DB4873B48A194DE547E62D0159D"/>
        <xdr:cNvPicPr>
          <a:picLocks noChangeAspect="1"/>
        </xdr:cNvPicPr>
      </xdr:nvPicPr>
      <xdr:blipFill>
        <a:blip r:embed="rId134"/>
        <a:stretch>
          <a:fillRect/>
        </a:stretch>
      </xdr:blipFill>
      <xdr:spPr>
        <a:xfrm>
          <a:off x="635" y="137635615"/>
          <a:ext cx="2742565" cy="6946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9" name="ID_A7B68AB449924B36A3501A41C78A4B55"/>
        <xdr:cNvPicPr>
          <a:picLocks noChangeAspect="1"/>
        </xdr:cNvPicPr>
      </xdr:nvPicPr>
      <xdr:blipFill>
        <a:blip r:embed="rId135"/>
        <a:stretch>
          <a:fillRect/>
        </a:stretch>
      </xdr:blipFill>
      <xdr:spPr>
        <a:xfrm>
          <a:off x="114300" y="133873240"/>
          <a:ext cx="2628900" cy="31242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0" name="ID_52E53C4F12E04D7685B40D16A016AD17"/>
        <xdr:cNvPicPr>
          <a:picLocks noChangeAspect="1"/>
        </xdr:cNvPicPr>
      </xdr:nvPicPr>
      <xdr:blipFill>
        <a:blip r:embed="rId136"/>
        <a:stretch>
          <a:fillRect/>
        </a:stretch>
      </xdr:blipFill>
      <xdr:spPr>
        <a:xfrm>
          <a:off x="428625" y="131015105"/>
          <a:ext cx="1781810" cy="2651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1" name="ID_BA3DF7EAFBB1402FB68D0526D210745B"/>
        <xdr:cNvPicPr>
          <a:picLocks noChangeAspect="1"/>
        </xdr:cNvPicPr>
      </xdr:nvPicPr>
      <xdr:blipFill>
        <a:blip r:embed="rId137"/>
        <a:stretch>
          <a:fillRect/>
        </a:stretch>
      </xdr:blipFill>
      <xdr:spPr>
        <a:xfrm>
          <a:off x="180975" y="129383155"/>
          <a:ext cx="2562225" cy="13817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2" name="ID_60AB53C9A03044B2A2210B193B2B2996"/>
        <xdr:cNvPicPr>
          <a:picLocks noChangeAspect="1"/>
        </xdr:cNvPicPr>
      </xdr:nvPicPr>
      <xdr:blipFill>
        <a:blip r:embed="rId138"/>
        <a:stretch>
          <a:fillRect/>
        </a:stretch>
      </xdr:blipFill>
      <xdr:spPr>
        <a:xfrm>
          <a:off x="219075" y="128770380"/>
          <a:ext cx="2524125" cy="10198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3" name="ID_E99A572F5DE84AAC861935876B737933"/>
        <xdr:cNvPicPr>
          <a:picLocks noChangeAspect="1"/>
        </xdr:cNvPicPr>
      </xdr:nvPicPr>
      <xdr:blipFill>
        <a:blip r:embed="rId139"/>
        <a:stretch>
          <a:fillRect/>
        </a:stretch>
      </xdr:blipFill>
      <xdr:spPr>
        <a:xfrm>
          <a:off x="152400" y="115858290"/>
          <a:ext cx="2590800" cy="112204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4" name="ID_D0628CEA3C4A468A83C8609B991F993B"/>
        <xdr:cNvPicPr>
          <a:picLocks noChangeAspect="1"/>
        </xdr:cNvPicPr>
      </xdr:nvPicPr>
      <xdr:blipFill>
        <a:blip r:embed="rId140"/>
        <a:stretch>
          <a:fillRect/>
        </a:stretch>
      </xdr:blipFill>
      <xdr:spPr>
        <a:xfrm>
          <a:off x="419735" y="109919770"/>
          <a:ext cx="2323465" cy="2628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5" name="ID_A9F8180AF09745C38F32B95A567BCED3"/>
        <xdr:cNvPicPr>
          <a:picLocks noChangeAspect="1"/>
        </xdr:cNvPicPr>
      </xdr:nvPicPr>
      <xdr:blipFill>
        <a:blip r:embed="rId141"/>
        <a:stretch>
          <a:fillRect/>
        </a:stretch>
      </xdr:blipFill>
      <xdr:spPr>
        <a:xfrm>
          <a:off x="76200" y="100396040"/>
          <a:ext cx="2667000" cy="934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6" name="ID_2C67CA8127D84EF8B4AE011DDCF638B2"/>
        <xdr:cNvPicPr>
          <a:picLocks noChangeAspect="1"/>
        </xdr:cNvPicPr>
      </xdr:nvPicPr>
      <xdr:blipFill>
        <a:blip r:embed="rId142"/>
        <a:stretch>
          <a:fillRect/>
        </a:stretch>
      </xdr:blipFill>
      <xdr:spPr>
        <a:xfrm>
          <a:off x="428625" y="93707585"/>
          <a:ext cx="2314575" cy="14039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7" name="ID_3223C1A9C5C4484E8AFB8EFD8A1B6231"/>
        <xdr:cNvPicPr>
          <a:picLocks noChangeAspect="1"/>
        </xdr:cNvPicPr>
      </xdr:nvPicPr>
      <xdr:blipFill>
        <a:blip r:embed="rId143"/>
        <a:stretch>
          <a:fillRect/>
        </a:stretch>
      </xdr:blipFill>
      <xdr:spPr>
        <a:xfrm>
          <a:off x="142875" y="88781255"/>
          <a:ext cx="2148840" cy="12865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8" name="ID_C51F514BBC0540A1B005428E2D5F8A68"/>
        <xdr:cNvPicPr>
          <a:picLocks noChangeAspect="1"/>
        </xdr:cNvPicPr>
      </xdr:nvPicPr>
      <xdr:blipFill>
        <a:blip r:embed="rId144"/>
        <a:stretch>
          <a:fillRect/>
        </a:stretch>
      </xdr:blipFill>
      <xdr:spPr>
        <a:xfrm>
          <a:off x="104775" y="82802095"/>
          <a:ext cx="2638425" cy="10058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39" name="ID_DB2287F67A2F4844AE336526C25F40DE"/>
        <xdr:cNvPicPr>
          <a:picLocks noChangeAspect="1"/>
        </xdr:cNvPicPr>
      </xdr:nvPicPr>
      <xdr:blipFill>
        <a:blip r:embed="rId145"/>
        <a:stretch>
          <a:fillRect/>
        </a:stretch>
      </xdr:blipFill>
      <xdr:spPr>
        <a:xfrm>
          <a:off x="114300" y="78694915"/>
          <a:ext cx="2628900" cy="99822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0" name="ID_96FF1A3CB1804B7A8C52D4E83BA2BEB3"/>
        <xdr:cNvPicPr>
          <a:picLocks noChangeAspect="1"/>
        </xdr:cNvPicPr>
      </xdr:nvPicPr>
      <xdr:blipFill>
        <a:blip r:embed="rId146"/>
        <a:stretch>
          <a:fillRect/>
        </a:stretch>
      </xdr:blipFill>
      <xdr:spPr>
        <a:xfrm>
          <a:off x="113665" y="73536175"/>
          <a:ext cx="2629535" cy="10826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1" name="ID_E63196F37FAD49DB83CD8C3D0130EAFA"/>
        <xdr:cNvPicPr>
          <a:picLocks noChangeAspect="1"/>
        </xdr:cNvPicPr>
      </xdr:nvPicPr>
      <xdr:blipFill>
        <a:blip r:embed="rId147"/>
        <a:stretch>
          <a:fillRect/>
        </a:stretch>
      </xdr:blipFill>
      <xdr:spPr>
        <a:xfrm>
          <a:off x="200025" y="64716025"/>
          <a:ext cx="2543175" cy="34575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2" name="ID_A4ED80B61B31465EBBBC1660C2D1623A"/>
        <xdr:cNvPicPr>
          <a:picLocks noChangeAspect="1"/>
        </xdr:cNvPicPr>
      </xdr:nvPicPr>
      <xdr:blipFill>
        <a:blip r:embed="rId148"/>
        <a:stretch>
          <a:fillRect/>
        </a:stretch>
      </xdr:blipFill>
      <xdr:spPr>
        <a:xfrm>
          <a:off x="2540" y="59895740"/>
          <a:ext cx="2742565" cy="5715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3" name="ID_38EC7EEB81C9455F836457AFC00B29D7"/>
        <xdr:cNvPicPr>
          <a:picLocks noChangeAspect="1"/>
        </xdr:cNvPicPr>
      </xdr:nvPicPr>
      <xdr:blipFill>
        <a:blip r:embed="rId149"/>
        <a:stretch>
          <a:fillRect/>
        </a:stretch>
      </xdr:blipFill>
      <xdr:spPr>
        <a:xfrm>
          <a:off x="238125" y="57990740"/>
          <a:ext cx="2054860" cy="20770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4" name="ID_E04CE2901DA84F1C939FA4FFF296D705"/>
        <xdr:cNvPicPr>
          <a:picLocks noChangeAspect="1"/>
        </xdr:cNvPicPr>
      </xdr:nvPicPr>
      <xdr:blipFill>
        <a:blip r:embed="rId150"/>
        <a:stretch>
          <a:fillRect/>
        </a:stretch>
      </xdr:blipFill>
      <xdr:spPr>
        <a:xfrm>
          <a:off x="114300" y="45716825"/>
          <a:ext cx="2628900" cy="13811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5" name="ID_B43DB3CF67CE40A292D6C8A8C5CBE6E2"/>
        <xdr:cNvPicPr>
          <a:picLocks noChangeAspect="1"/>
        </xdr:cNvPicPr>
      </xdr:nvPicPr>
      <xdr:blipFill>
        <a:blip r:embed="rId151"/>
        <a:stretch>
          <a:fillRect/>
        </a:stretch>
      </xdr:blipFill>
      <xdr:spPr>
        <a:xfrm>
          <a:off x="161925" y="39644320"/>
          <a:ext cx="2581275" cy="1343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6" name="ID_1595475D7B09488AAD17948B9EE4BEF2"/>
        <xdr:cNvPicPr>
          <a:picLocks noChangeAspect="1"/>
        </xdr:cNvPicPr>
      </xdr:nvPicPr>
      <xdr:blipFill>
        <a:blip r:embed="rId152"/>
        <a:stretch>
          <a:fillRect/>
        </a:stretch>
      </xdr:blipFill>
      <xdr:spPr>
        <a:xfrm>
          <a:off x="133350" y="33024445"/>
          <a:ext cx="2259330" cy="17805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7" name="ID_E6A2CF69DC0F4350B01B7B8D139BA131"/>
        <xdr:cNvPicPr>
          <a:picLocks noChangeAspect="1"/>
        </xdr:cNvPicPr>
      </xdr:nvPicPr>
      <xdr:blipFill>
        <a:blip r:embed="rId153"/>
        <a:stretch>
          <a:fillRect/>
        </a:stretch>
      </xdr:blipFill>
      <xdr:spPr>
        <a:xfrm>
          <a:off x="523875" y="16844010"/>
          <a:ext cx="1714500" cy="14579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8" name="ID_0B72D4CE3D6F4CB29B5C216E3EC6F2DF"/>
        <xdr:cNvPicPr>
          <a:picLocks noChangeAspect="1"/>
        </xdr:cNvPicPr>
      </xdr:nvPicPr>
      <xdr:blipFill>
        <a:blip r:embed="rId154"/>
        <a:stretch>
          <a:fillRect/>
        </a:stretch>
      </xdr:blipFill>
      <xdr:spPr>
        <a:xfrm>
          <a:off x="123825" y="1190625"/>
          <a:ext cx="2619375" cy="1365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9" name="ID_81487052A28B4F788BA69538D63B0777"/>
        <xdr:cNvPicPr>
          <a:picLocks noChangeAspect="1"/>
        </xdr:cNvPicPr>
      </xdr:nvPicPr>
      <xdr:blipFill>
        <a:blip r:embed="rId155"/>
        <a:stretch>
          <a:fillRect/>
        </a:stretch>
      </xdr:blipFill>
      <xdr:spPr>
        <a:xfrm>
          <a:off x="9525" y="17675860"/>
          <a:ext cx="2733675" cy="13906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0" name="ID_EC722BAD1B4F42E195B6B18B2C3B81B7"/>
        <xdr:cNvPicPr>
          <a:picLocks noChangeAspect="1"/>
        </xdr:cNvPicPr>
      </xdr:nvPicPr>
      <xdr:blipFill>
        <a:blip r:embed="rId156"/>
        <a:stretch>
          <a:fillRect/>
        </a:stretch>
      </xdr:blipFill>
      <xdr:spPr>
        <a:xfrm>
          <a:off x="47625" y="22114510"/>
          <a:ext cx="2695575" cy="14795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1" name="ID_38F17BD3A62F46CBAF02E1E1447A0C84"/>
        <xdr:cNvPicPr>
          <a:picLocks noChangeAspect="1"/>
        </xdr:cNvPicPr>
      </xdr:nvPicPr>
      <xdr:blipFill>
        <a:blip r:embed="rId157"/>
        <a:stretch>
          <a:fillRect/>
        </a:stretch>
      </xdr:blipFill>
      <xdr:spPr>
        <a:xfrm>
          <a:off x="179070" y="27716480"/>
          <a:ext cx="2266950" cy="107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2" name="ID_45DC663665B640E088401F418E66A42D"/>
        <xdr:cNvPicPr>
          <a:picLocks noChangeAspect="1"/>
        </xdr:cNvPicPr>
      </xdr:nvPicPr>
      <xdr:blipFill>
        <a:blip r:embed="rId158"/>
        <a:stretch>
          <a:fillRect/>
        </a:stretch>
      </xdr:blipFill>
      <xdr:spPr>
        <a:xfrm>
          <a:off x="57150" y="11661775"/>
          <a:ext cx="2686050" cy="20510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3" name="ID_88876C8C7E0A4F03A641C760926A340A"/>
        <xdr:cNvPicPr>
          <a:picLocks noChangeAspect="1"/>
        </xdr:cNvPicPr>
      </xdr:nvPicPr>
      <xdr:blipFill>
        <a:blip r:embed="rId159"/>
        <a:stretch>
          <a:fillRect/>
        </a:stretch>
      </xdr:blipFill>
      <xdr:spPr>
        <a:xfrm>
          <a:off x="3467100" y="298615100"/>
          <a:ext cx="1761490" cy="83947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4" name="ID_F78E31973E7640C5A2222125E78D2AD5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32225" y="9180195"/>
          <a:ext cx="895985" cy="13436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5" name="ID_48192933E5CF4456B5D0C3EB3A06AA55"/>
        <xdr:cNvPicPr>
          <a:picLocks noChangeAspect="1"/>
        </xdr:cNvPicPr>
      </xdr:nvPicPr>
      <xdr:blipFill>
        <a:blip r:embed="rId160"/>
        <a:stretch>
          <a:fillRect/>
        </a:stretch>
      </xdr:blipFill>
      <xdr:spPr>
        <a:xfrm>
          <a:off x="3435985" y="254803275"/>
          <a:ext cx="322580" cy="6178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6" name="ID_230F4F1C01F845FB9C718065D2973882"/>
        <xdr:cNvPicPr/>
      </xdr:nvPicPr>
      <xdr:blipFill>
        <a:blip r:embed="rId161"/>
        <a:stretch>
          <a:fillRect/>
        </a:stretch>
      </xdr:blipFill>
      <xdr:spPr>
        <a:xfrm>
          <a:off x="3470275" y="83122135"/>
          <a:ext cx="1583055" cy="1079500"/>
        </a:xfrm>
        <a:prstGeom prst="rect">
          <a:avLst/>
        </a:prstGeom>
      </xdr:spPr>
    </xdr:pic>
  </etc:cellImage>
  <etc:cellImage>
    <xdr:pic>
      <xdr:nvPicPr>
        <xdr:cNvPr id="457" name="ID_1F0DDA35B46A4CFDBF631481F6B654BD"/>
        <xdr:cNvPicPr>
          <a:picLocks noChangeAspect="1"/>
        </xdr:cNvPicPr>
      </xdr:nvPicPr>
      <xdr:blipFill>
        <a:blip r:embed="rId162"/>
        <a:stretch>
          <a:fillRect/>
        </a:stretch>
      </xdr:blipFill>
      <xdr:spPr>
        <a:xfrm>
          <a:off x="3548380" y="12099925"/>
          <a:ext cx="1460500" cy="762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8" name="ID_69E4F39749154B099013A7664F49E4F0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603625" y="85887560"/>
          <a:ext cx="897255" cy="152463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59" name="ID_C109B803410846BA9DFD9E5BFC797BA2"/>
        <xdr:cNvPicPr>
          <a:picLocks noChangeAspect="1"/>
        </xdr:cNvPicPr>
      </xdr:nvPicPr>
      <xdr:blipFill>
        <a:blip r:embed="rId163"/>
        <a:stretch>
          <a:fillRect/>
        </a:stretch>
      </xdr:blipFill>
      <xdr:spPr>
        <a:xfrm>
          <a:off x="3418840" y="316170310"/>
          <a:ext cx="1885950" cy="1527175"/>
        </a:xfrm>
        <a:prstGeom prst="rect">
          <a:avLst/>
        </a:prstGeom>
        <a:noFill/>
        <a:ln w="1">
          <a:noFill/>
        </a:ln>
      </xdr:spPr>
    </xdr:pic>
  </etc:cellImage>
  <etc:cellImage>
    <xdr:pic>
      <xdr:nvPicPr>
        <xdr:cNvPr id="2" name="ID_E29894B9699248EFA0CDBC57231DFDD2"/>
        <xdr:cNvPicPr>
          <a:picLocks noChangeAspect="1"/>
        </xdr:cNvPicPr>
      </xdr:nvPicPr>
      <xdr:blipFill>
        <a:blip r:embed="rId164"/>
        <a:stretch>
          <a:fillRect/>
        </a:stretch>
      </xdr:blipFill>
      <xdr:spPr>
        <a:xfrm>
          <a:off x="4283075" y="216108280"/>
          <a:ext cx="942975" cy="176022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<sst xmlns="http://schemas.openxmlformats.org/spreadsheetml/2006/main" count="789" uniqueCount="328">
  <si>
    <t>无锡经济开发区消防特勤指挥中心投勤配套家具采购项目清单</t>
  </si>
  <si>
    <t>序号</t>
  </si>
  <si>
    <t>图片</t>
  </si>
  <si>
    <t>名称</t>
  </si>
  <si>
    <t>规格</t>
  </si>
  <si>
    <t>数量</t>
  </si>
  <si>
    <t>单位</t>
  </si>
  <si>
    <t>材质说明</t>
  </si>
  <si>
    <t>2#1F主门厅接待厅</t>
  </si>
  <si>
    <t>单人位沙发</t>
  </si>
  <si>
    <t>990*940*850H</t>
  </si>
  <si>
    <t>个</t>
  </si>
  <si>
    <t>1、框架：优质实木框架，含水率≤9%；
2、皮料：具有舒适透气、坚实耐磨；
3、内部材质：高密度高回弹海绵，海绵密度达到≥30.0以上，回弹性能≥40%以上，不易变形；
4、沙发脚：喷涂光滑均匀，色泽统一；</t>
  </si>
  <si>
    <t>三人位</t>
  </si>
  <si>
    <t>2400*940*850H</t>
  </si>
  <si>
    <t>1、框架：优质实木框架，含水率≤9%；
2、皮料：具有舒适透气、坚实耐磨；
3、内部材质：高密度高回弹海绵，海绵密度达到≥30.0以上，回弹性能≥40%以上，不易变形；
4、沙发脚：喷涂光滑均匀；</t>
  </si>
  <si>
    <t>沙发</t>
  </si>
  <si>
    <t>730*870*750</t>
  </si>
  <si>
    <t>1、框架：优质实木框架，含水率≤9%；采用铁刀木防火板饰面扶手外框；
2、皮料：优质纳米皮；
3、内部材质：高密度高回弹海绵，海绵密度达到≥30.0以上，回弹性能≥40%以上，不易变形；
4、沙发脚：电镀不锈钢扶手；</t>
  </si>
  <si>
    <t>方茶桌</t>
  </si>
  <si>
    <t>1200*1200*420</t>
  </si>
  <si>
    <t>1、基材：采用国标E0级标准MFC板台面25MM厚，甲醛释放含量≤0.05mg/m³。
2、封边：优质同色PVC封边条。
3、钢架20mm*20mm优质铝合金电镀脚架，表面粉体涂装，桌脚和横梁之间采用专利快拆结构连接，拆装灵活连接稳固。</t>
  </si>
  <si>
    <t>吧台职员椅</t>
  </si>
  <si>
    <t>常规</t>
  </si>
  <si>
    <t>把</t>
  </si>
  <si>
    <t>网布：双层网布结构，表面防水防污处理。
海绵：密度30KG/M3原生海绵坐垫，5公分厚度。
曲木板：坐垫曲木板≥14mm多层曲木板。
底盘：安全防爆底盘，2档调节，承重102KG。
气压棒：气杆升降行程10CM，厚壁管≥2mm。
椅脚：尼龙椅脚，半径320cm，1136KG抗冲击测试。
椅轮：60MM尼龙轮。</t>
  </si>
  <si>
    <t>2#1F文员办公室</t>
  </si>
  <si>
    <t>职员位</t>
  </si>
  <si>
    <t>1400*600*750</t>
  </si>
  <si>
    <t>位</t>
  </si>
  <si>
    <t>1、基材：采用国标E0级标准MFC板，台面≥25mm其余≥16mm甲醛释放含量≤0.05mg/m³。
2、封边：优质同色PVC封边条。
3、钢架40mm*40mm优质铝合金电镀脚架，表面粉体涂装，桌脚和横梁之间采用专利快拆结构连接，拆装灵活连接稳固。</t>
  </si>
  <si>
    <t>职员椅</t>
  </si>
  <si>
    <t>书柜文件柜</t>
  </si>
  <si>
    <t>850*390*1800</t>
  </si>
  <si>
    <t>组</t>
  </si>
  <si>
    <t>材质：
1、板材：采用0.8mm厚冷轧钢板，表面经磷化处理，柜体成型加载后，结构稳定无变形，牢固耐用；
2、五金：钢制锁芯，防盗防撬，开启灵活，内嵌式拉手，手感舒适；
3、粉末：环保粉末，静电喷涂工艺，健康环保；
4、工艺：可自由拆卸层板，超大承载；</t>
  </si>
  <si>
    <t>茶水柜</t>
  </si>
  <si>
    <t>800*400*800</t>
  </si>
  <si>
    <t xml:space="preserve">1、基材： 采用国标E0级标准MFC板，顶板≥25mm其余≥16mm防火、防潮、耐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</si>
  <si>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2#1F物业办公室</t>
  </si>
  <si>
    <t>文件柜</t>
  </si>
  <si>
    <t>2#1F物业库房</t>
  </si>
  <si>
    <t>重型货架</t>
  </si>
  <si>
    <t>1500*600*2000</t>
  </si>
  <si>
    <t>采用一级冷轧钢。厚度不小于0.9mm.
工艺：经除油 除锈 酸洗 磷化 数控防静电粉末涂装处理。
五金配件：优质五金配件。</t>
  </si>
  <si>
    <t>2#1F会议室74平方米</t>
  </si>
  <si>
    <t>会议桌</t>
  </si>
  <si>
    <t>7200*1800*750</t>
  </si>
  <si>
    <t>张</t>
  </si>
  <si>
    <t xml:space="preserve">1、基材： 采用环保欧松板，板材厚度≥50mm板材经过防虫防腐处理，纹理清晰，自然美枫色，密度高达700KG/M3，甲醛含量＜0.15mg/L；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</si>
  <si>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会议椅</t>
  </si>
  <si>
    <t>580*650*1020</t>
  </si>
  <si>
    <t xml:space="preserve">皮：纳米皮饰面。
海绵：密度30KG/m³原生海绵。
座木板：12mm多层曲木板。
背木板：外板12mm和内板6mm多层木皮。
椅架：1.8mm厚度扁管折弯而成，承重102KG向下冲击测试。
结构功能：坐垫可承受57KG的重物冲击100000次不变形。
</t>
  </si>
  <si>
    <t>荣誉柜</t>
  </si>
  <si>
    <t>2400*400*2000</t>
  </si>
  <si>
    <t xml:space="preserve">1、基材： 采用国标E0级标准MFC板，板材厚度≥16mm，防火、防潮、耐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</si>
  <si>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2#1F讨论室144.6平方米</t>
  </si>
  <si>
    <t>讨论桌</t>
  </si>
  <si>
    <t>2000*1000*760折叠带轮</t>
  </si>
  <si>
    <t>1、基材：采用国标E0级标准MFC板，台面≥25mm厚甲醛释放含量≤0.05mg/m³。
2、封边：优质同色PVC封边条。
3、钢架优质铝合金电镀脚架，表面粉体涂装，桌脚和横梁之间采用专利快拆结构连接，拆装灵活连接稳固。</t>
  </si>
  <si>
    <t>折叠椅</t>
  </si>
  <si>
    <t>570*570*860</t>
  </si>
  <si>
    <t>网布：双层网布结构，使得网布性能全面提高，寿命大大提高，表面防水防污处理。
海绵：密度30KG/M3原生海绵坐垫，健康无异味，5厘米厚度，保证臀部有足够的下陷深度。
曲木板：坐垫曲木板为14mm多层曲木板热压成型。
椅脚：2.0mm电镀钢管折弯而成，承重102KG下往复拉力测试。</t>
  </si>
  <si>
    <t>讨论桌椅</t>
  </si>
  <si>
    <t>椅子550*540*780桌椅直径800*720（一桌3椅）</t>
  </si>
  <si>
    <t>套</t>
  </si>
  <si>
    <t>1、框架：优质实木框架，含水率≤9%；
2、面料：耐干摩擦（级）≥4以上。
3、内部材质：高密度高回弹海绵，海绵密度达到≥30.0以上，回弹性能≥40%以上，不易变形；
4、沙发脚：喷涂光滑均匀，色泽统一；</t>
  </si>
  <si>
    <t>2#2F档案室</t>
  </si>
  <si>
    <t>智能档案柜</t>
  </si>
  <si>
    <t>900*600*2400</t>
  </si>
  <si>
    <t>立方</t>
  </si>
  <si>
    <t>（1）材质：轨道采用20*20mm实心方钢；底盘材质≥2.35mm优质冷轧钢板；立柱材质≥1.50mm优质冷轧钢板；搁板材质≥1.0mm优质冷轧钢板，厚度≥25mm，25mm高侧面压制标签槽。搁板压双筋，每块搁板可任意沿压筋立柱的垂直方向调节存放空间高度；挂板材质≥1.0mm优质冷轧钢板；门板材质≥1.0mm；密集架防尘门档材质≥1.2mm；门锁采用品牌专业锁具厂生产的四位机械密码锁；顶板材质≥1.0mm；防尘、防震装置：≥20mm国优品牌磁性冰箱门吸条；防尘板、防鼠板：采用优质品牌≥1.0mm冷轧钢板。底梁上安装防倒架，防止架体倾倒装置，防倾倒装置材质≥2.35mm。
（2）传动机构（采用机械式自动脱离驱动装置）：轴承采用优质品牌产品，精密度高，万向灵活，耐压与耐磨性能好；传动轴采用优质45#钢Φ20实心钢，采用HT20-40高强度灰铸铁，连接管采用Φ25*2.5优质无缝钢管，传动机构配合精密度高，定位可靠，传动轻便灵活，摇手轻，运行平稳性能达到和超过国家标准。
（3）移动列采用一体式控制模块，实现架体间通讯、移动等控制；7寸彩色全触摸液晶显示屏，分辨率1024*768 65K色，显示列的相关信息及操作功能；采用D30/12V/24V的开关电源，实现显示屏及控制模块供电充足；采用双面全铝合金连体式45度斜发光面LED灯，截面边长35mm×35mm，列之间过道照明及开架提示；霍尔开关，无接触型检测，防止架体移动到位时碰撞；红外开关，自动检测、防止架体夹人夹物。</t>
  </si>
  <si>
    <t>阅档桌</t>
  </si>
  <si>
    <t>1400*700*750</t>
  </si>
  <si>
    <t>2#2F维修中心改办公室</t>
  </si>
  <si>
    <t>办公桌</t>
  </si>
  <si>
    <t>主桌1600*750*750侧柜1200*400*650</t>
  </si>
  <si>
    <t xml:space="preserve">1、基材： 采用国标E0级标准MFC板，台面脚片≥25mm其余≥16mm甲醛释放含量≤0.05mg/m³。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</si>
  <si>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办公椅</t>
  </si>
  <si>
    <t>皮：优质头层牛皮，无溶剂、环保生产工艺制成，不含二甲基甲酰胺，通过十年耐水解测试和耐全天候测试。
海绵：密度30KG/M3原生海绵坐垫，健康无异味，5厘米厚度，保证臀部有足够的下陷深度。
曲木板：坐垫曲木板为14mm多层曲木板热压成型。
底盘：安全防爆STG底盘，承重102KG下往复拉力测试，4MM钢板冲压而成。
气压棒：气杆升降行程8CM，采用国产莱特气压棒，国际SGS认证三级，12万次升降旋转测试，2.0MM厚壁管，正品钢印认证。
椅脚：铝合金压铸椅脚，半径350CM，表面精抛光处理，一体成型。
椅轮：中威60MM的PU防震静音轮，正常使用，可在平滑硬面来回10万次而不失去任何功能。</t>
  </si>
  <si>
    <t>隔断文件柜</t>
  </si>
  <si>
    <t>5900*400*2800按实际尺寸做</t>
  </si>
  <si>
    <t>2#2F应急贮备储备库2间</t>
  </si>
  <si>
    <t>4000*1800*750</t>
  </si>
  <si>
    <t>矮柜</t>
  </si>
  <si>
    <t>1600*400*800</t>
  </si>
  <si>
    <t>2#2F电视电话会议室</t>
  </si>
  <si>
    <t>主席台</t>
  </si>
  <si>
    <t>1.面材：天然实木皮，厚度≥0.6mm；实木皮或实木条封边，颜色均匀平整，木纹清晰。
2.基材：选用E1级绿色环保中密度纤维板 ，甲醛释放含量≤0.124mg/m³，板材含水率≤5%，内结合强度≥0.45Mpa，吸水膨胀率≤5%，表面结合强度≥0.9Mpa，外观、密度偏差等符合GB/T11718-2009《中密度纤维板》；
3.油漆：采用环保油漆，美观、不变色、光滑耐磨、无气味，有机挥发物含量、可溶性重金属含量符合GB18584-2001《室内装饰装修材料 木家具中有害物质限量》标准；
4.胶黏剂：采用水性胶黏剂，符合HJ 2541-2016的要求；
5.成品：各项技术指标符合 GB/T 3324-2017《木家具通用技术条件》规定的要求，漆膜耐湿热不低于3级，抗冲击不低于3级。</t>
  </si>
  <si>
    <t>主席椅</t>
  </si>
  <si>
    <t>皮：优质头层牛皮，无溶剂、环保生产工艺制成，不含二甲基甲酰胺，通过十年耐水解测试和耐全天候测试。
海绵：密度30KG/M3原生海绵坐垫，健康无异味，5厘米厚度，保证臀部有足够的下陷深度。
椅脚：橡胶木实木四脚椅架。</t>
  </si>
  <si>
    <t>讲台</t>
  </si>
  <si>
    <t>1.面材：天然实木皮，厚度≥0.6mm；实木皮或实木条封边，颜色均匀平整，木纹清晰。
2.基材：选用E1级绿色环保中密度纤维板 ，甲醛释放含量≤0.124mg/m³，板材含水率≤5%，内结合强度≥0.45Mpa，吸水膨胀率≤5%，表面结合强度≥0.9Mpa，外观、密度偏差等符合GB/T11718-2009《
中密度纤维板》；
3.油漆：采用环保油漆，美观、不变色、光滑耐磨、无气味，有机挥发物含量、可溶性重金属含量符合GB18584-2001《室内装饰装修材料 木家具中有害物质限量》标准；
4.胶黏剂：采用水性胶黏剂，符合HJ 2541-2016的要求；
5.成品：各项技术指标符合 GB/T 3324-2017《木家具通用技术条件》规定的要求，漆膜耐湿热不低于3级，抗冲击不低于3级。</t>
  </si>
  <si>
    <t>条桌</t>
  </si>
  <si>
    <t>1200*400*760</t>
  </si>
  <si>
    <t>椅子</t>
  </si>
  <si>
    <t>1200*400*800</t>
  </si>
  <si>
    <t xml:space="preserve">1.柜子台面板材质说明：台面板材质基层采用防水，防潮，防火，耐高温欧松板热压成型，产品完全 符合欧洲E1标准，其甲醛释放量几乎为零。表面材质：采用“富美家”0.8mm厚可双面防火板压制。 台面厚度28MM
2.柜体材质说明：采用优质实木多层板，经过防虫防腐处理，纹理清晰，E0级绿色环保型实木多层板，密度700KG/M3，甲醛含量优质量＜0.5mg/L，封边2MM厚PVC封边，经自动调温热压机使板材粘连无丝无缝，在不同地区气温、湿度的变化中不受影响，能长期不变形不开裂，同色封边样式美观。                                                                   3.五金配件：五金件采用海蒂诗品牌液压铰链，缓冲效果是普通铰链的五倍 </t>
  </si>
  <si>
    <t>2#3F参谋长2间*4人+大队长、教导员、副大队长办公室2间</t>
  </si>
  <si>
    <t>接待椅</t>
  </si>
  <si>
    <t xml:space="preserve">皮：优质头层皮，无溶剂、环保生产工艺制成，不含二甲基甲酰胺，通过十年耐水解测试和耐全天候测试。
海绵：密度30KG/M3原生海绵坐垫，健康无异味，5厘米厚度，保证臀部有足够的下陷深度。
曲木板：坐垫曲木板为14mm多层曲木板热压成型。
</t>
  </si>
  <si>
    <t>2#3F财务室</t>
  </si>
  <si>
    <t xml:space="preserve">财务办公桌       </t>
  </si>
  <si>
    <t>主桌2000*800*750侧柜1200*400*650</t>
  </si>
  <si>
    <t>1、基材： 采用国标E0级标准MFC板，台面脚片≥25mm其余≥16mm甲醛释放含量≤0.05mg/m³。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</t>
  </si>
  <si>
    <t>主管椅</t>
  </si>
  <si>
    <t>1、椅背高弹网布，背部曲线设计，符合人体工程学；
2、海绵：高密度回弹定型海绵；
3、扶手：黑色PU固定面；
4、底盘：可力度调节，
5、气压棒：品牌气压棒；
6、椅脚：黑色尼龙五星脚；
7、椅轮：φ60PU轮，经久耐磨，活动顺畅。</t>
  </si>
  <si>
    <t>640*670*1010</t>
  </si>
  <si>
    <t xml:space="preserve">网布：双层网布结构，表面防水防污处理。
海绵：密度30KG/M3原生海绵坐垫，5公分厚度。
曲木板：坐垫曲木板≥14mm多层曲木板。
底盘：安全防爆底盘，2档调节，承重102KG。
气压棒：气杆升降行程10CM，厚壁管≥2mm。
椅脚：尼龙椅脚，半径320cm，1136KG抗冲击测试。
椅轮：60MM尼龙轮。
</t>
  </si>
  <si>
    <t>2#3F文员室改3-1火调宣传，8人肩并肩坐；3-2综合监管，10人；3-3执法中心，12人</t>
  </si>
  <si>
    <t>柜子与办公桌组合</t>
  </si>
  <si>
    <t>柜子1600*400*1200桌1200*600*750</t>
  </si>
  <si>
    <t>2#3F战略研讨室</t>
  </si>
  <si>
    <t>2400*1200*750</t>
  </si>
  <si>
    <t>2#3F办公室3间*6人</t>
  </si>
  <si>
    <t>2#3F会议室76.8平方米</t>
  </si>
  <si>
    <t>8000*2200*760</t>
  </si>
  <si>
    <t>米</t>
  </si>
  <si>
    <t>1.基材：采用环保欧松板，板材厚度50mm板材经过防虫防腐处理，纹理清晰，自然美枫色，密度高达700KG/M3，甲醛含量＜0.15mg/L；
2.贴面：采用优质国标木纹三聚氰胺面板精工制作，封边1.0mm/1.8mm厚PVC封边，经自动调温热压机使板材粘连无丝无缝，在不同地区气温、湿度的变化中不受影响，能长期不变形不开裂，同色封边样式美观；   
3.工艺：台面、脚片压板，每块台面内部不低于2根，镀锌钢管支撑防止台面变形；                                   
4.五金配件：阻尼铰链、桌面含1个铝合金多功能线盒（内含五孔2个，网络接口及电话接口各一个 ），通过安全测试标准，各项指标均达国家标准。</t>
  </si>
  <si>
    <t>2400×400×2000</t>
  </si>
  <si>
    <t>2#4F党委会议室123.4平方米</t>
  </si>
  <si>
    <t>10000*2200*760</t>
  </si>
  <si>
    <t>1.基材：采用环保欧松板，板材厚度50mm板材经过防虫防腐处理，纹理清晰，自然美枫色，密度高达700KG/M3，甲醛含量＜0.15mg/L；
2.贴面：采用优质国标木纹三聚氰胺面板精工制作，封边1.0mm/1.8mm厚PVC封边，经自动调温热压机使板材粘连无丝无缝，在不同地区气温、湿度的变化中不受影响，能长期不变形不开裂，同色封边样式美观；   
3.工艺：台面、脚片压板  ，每块台面内部不低于2根，镀锌钢管支撑防止台面变形）；                                   
4.五金配件：阻尼铰链、桌面含1个铝合金多功能线盒（内含五孔2个，网络接口及电话接口各一个） ，通过安全测试标准，各项指标均达国家标准。</t>
  </si>
  <si>
    <t>边柜</t>
  </si>
  <si>
    <t>2#4F党委会议室指挥中心207平方米</t>
  </si>
  <si>
    <t>控制台</t>
  </si>
  <si>
    <t>5000*700*950</t>
  </si>
  <si>
    <t>1.主体框架选用厚度为1.0mm的首钢优质冷轧钢板制作，箱体式结构，内部贯通，方便走线；下柜体内有设备托盘可放置主机设备，主机托盘独立抽拉，可安装PDU电源，托盘下方有走线槽，强弱电分离；2.键盘盒采用301mm静音滑轨；3.台面采用环保高密度纤维板；含水率小于8%，密度大于720-890kg/m3，吸水厚度膨胀率小于3%。油漆：环保油漆，甲醛含量最小于0.9mg/100g。4.表面静电喷塑。5.配件：使用优质五金配件。</t>
  </si>
  <si>
    <t xml:space="preserve">1、椅背高弹网布，背部曲线设计，符合人体工程学；
2、海绵：高密度回弹定型海绵；
3、扶手：黑色PU固定面；
4、底盘：可力度调节，
5、气压棒：品牌气压棒；
6、椅脚：黑色尼龙五星脚；
7、椅轮：φ60PU轮，经久耐磨，活动顺畅。
</t>
  </si>
  <si>
    <t>决策台</t>
  </si>
  <si>
    <t>4000*1500*750</t>
  </si>
  <si>
    <t>1.基材：采用环保欧松板，板材厚度50mm板材经过防虫防腐处理，纹理清晰，自然美枫色，密度高达700KG/M3，甲醛含量＜0.15mg/L；
2.贴面：采用优质国标木纹三聚氰胺面板精工制作，封边1.0mm/1.8mm厚PVC封边，经自动调温热压机使板材粘连无丝无缝，在不同地区气温、湿度的变化中不受影响，能长期不变形不开裂，同色封边样式美观；   
3.工艺：台面、脚片压板  ，每块台面内部不低于2根，镀锌钢管支撑防止台面变形）；                                   
4.五金配件：阻尼铰链、桌面含1个铝合金多功能线盒（内含五孔2个，网络接口及电话接口各一个 ），通过安全测试标准，各项指标均达国家标准。</t>
  </si>
  <si>
    <t>2#4F</t>
  </si>
  <si>
    <t>2#4F活动室28.1改办公室</t>
  </si>
  <si>
    <t>2#4F活动室改成培训室95.8</t>
  </si>
  <si>
    <t>2#5F活动室61.3平方+公用物资库</t>
  </si>
  <si>
    <t>2#5F健身房改成公务仓</t>
  </si>
  <si>
    <t>工作台</t>
  </si>
  <si>
    <t>2#5F会议室2间各53平方改休息室</t>
  </si>
  <si>
    <t>实木双层床</t>
  </si>
  <si>
    <t>2000*1000*1800</t>
  </si>
  <si>
    <t>床基材：全实木结构，经过消甲醛处理，甲醛释放量均优于环保水平，保证了家具的环保安全和无污染；
结构：实木龙骨压合，木榫固定式制作，支柱7公分*7公分，经常搬动不散架。        
油漆：采用台湾优质环保油漆，经五底三面油漆工艺处理。</t>
  </si>
  <si>
    <t>床垫</t>
  </si>
  <si>
    <t>2000*1000*50</t>
  </si>
  <si>
    <t>1. 面料层：采用350克针织面料，质地厚实耐磨，触感亲肤透气，无刺激性异味，保障日常使用的舒适感与耐用性。
2. 缓冲层：搭配高密度海绵，回弹性佳且支撑稳定，能有效分散身体压力，提升躺卧时的贴合度，同时海绵符合环保标准，无有害添加。
3. 核心支撑层：选用3E环保棕，由天然椰棕纤维经高温热压成型，不含胶水或仅用少量环保粘合剂，从源头杜绝甲醛释放，兼具防潮防螨、透气抑菌的特性，支撑性强且不易塌陷，是环保健康的核心材质。
4. 底层：采用3D透气底布，立体结构可加速空气流通，避免床垫底部因闷热潮湿滋生霉菌，进一步增强整体透气性能。
5. 包装：使用环保油纸包装，无塑化剂等有害物质，可回收降解，减少对环境的污染，兼顾产品运输防护与生态环保。</t>
  </si>
  <si>
    <t>定制衣柜</t>
  </si>
  <si>
    <t>1800*600*2400</t>
  </si>
  <si>
    <t xml:space="preserve">1、基材： 采用国标E0级标准MFC板，板≥16mm防火、防潮、耐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</si>
  <si>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鞋柜</t>
  </si>
  <si>
    <t>1200*400*1200</t>
  </si>
  <si>
    <t>2#5F休息室</t>
  </si>
  <si>
    <t>床含3公分棕垫</t>
  </si>
  <si>
    <t>1500*2000</t>
  </si>
  <si>
    <t xml:space="preserve">1、基材： 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4、五金配件：采用优质五金棕垫。基材：采用天然棕树的棕衣制成。面料透气性好，防尘，柔软舒适。
</t>
  </si>
  <si>
    <t>床头柜</t>
  </si>
  <si>
    <t>440*400*500</t>
  </si>
  <si>
    <t xml:space="preserve">1、基材：采用国标E0级标准MFC板≥16mm，甲醛释放含量达到国标E0级标准，防火、防潮、耐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</si>
  <si>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>衣柜</t>
  </si>
  <si>
    <t>1200*600*2000</t>
  </si>
  <si>
    <t>书桌</t>
  </si>
  <si>
    <t>1200*600*750</t>
  </si>
  <si>
    <t>书桌椅</t>
  </si>
  <si>
    <t xml:space="preserve">采用橡胶木实木作为主材料，靠背为弧形设计，贴合于人体背部，增加舒适度，使用一整块橡胶木实木雕刻成型，坐垫面料为亲肤绒布软包，软包内部为防火中密度海绵，坐感舒适，木制表面选用环保木蜡油，二底一面工艺制作，亚光，面均衡油饰，漆膜附着力达到1级，达到色泽美观、不变色、光滑耐磨、手感好，保证油漆面光洁平整。 </t>
  </si>
  <si>
    <t>电视柜+行李柜</t>
  </si>
  <si>
    <t>1800*600*750</t>
  </si>
  <si>
    <t>2#1F器材库</t>
  </si>
  <si>
    <t>架</t>
  </si>
  <si>
    <t>采用一级冷轧钢。厚度不小于0.9mm.
工艺：经除油 除锈 酸洗 磷化 数控防静电粉末涂装处理。
五金配件：采用优质五金配件。</t>
  </si>
  <si>
    <t>工作站</t>
  </si>
  <si>
    <t>1、基材：采用国标E0级标准MFC板，台面≥25mm甲醛释放含量≤0.05mg/m³。
2、封边：优质同色PVC封边条。
3、钢架40mm*40mm优质铝合金电镀脚架，表面粉体涂装，桌脚和横梁之间采用专利快拆结构连接，拆装灵活连接稳固。</t>
  </si>
  <si>
    <t>单人职员位</t>
  </si>
  <si>
    <t>1、面料：采用优质透气网布面透气性、韧性强，选用多层强力拉筋包背，具有回力好，经久耐用的优点。
2、海绵：采用优质品牌高弹定型海绵，不塌陷不变形耐用度高；表面有防腐化和防变形保护膜，软硬适中。
3、脚架：腿部为优质碳钢腿，表面做防锈，防水喷涂</t>
  </si>
  <si>
    <t>1#1F食堂</t>
  </si>
  <si>
    <t>餐桌</t>
  </si>
  <si>
    <t>基材：采用25MM厚实木板，健康安全， 耐高温，性能稳定，不开裂、不变形，耐刮，抗油污易清洁，防水抗霉菌抗重压韧性强抗霜冻。 稳定的色彩，不会受光照影响而变                                                                                 脚：碳素钢管焊接而成，表面粉体涂装，脚和横梁之间采用专利快拆结构连接，拆装灵活连接稳固。表面呈磨砂、黑色哑光工艺。抗氧化能力强。层无漏喷、锈蚀和脱色、掉色现象，涂层 光滑均匀、色泽一致，无流挂、疙瘩、飞漆等缺</t>
  </si>
  <si>
    <t>餐椅</t>
  </si>
  <si>
    <t>475*470*750</t>
  </si>
  <si>
    <t>（1）椅面：基材采用全新PP加纤材质，经模具一体压铸成型，椅面光亮平滑无任何凹凸棱角，座椅面不得有任何镂空处，靠背与座板人体工学弧形设计，椅背弧度与人体背部贴合更紧密，久坐不累，坐感舒适，
（2）椅架：采用优质实木榉木，实木木方表面抛光处理，除虫、除菌、干燥等加工处理，表面经防潮清漆工艺处理，整体框架为固定式结构，带弧形靠背贴合PP座板。PP座板与椅架连接螺丝均为防滑耐落螺丝，加强座椅稳固性。木脚着地处采用塑胶软垫，防滑耐用，使用更平稳；</t>
  </si>
  <si>
    <t>1#1F包间</t>
  </si>
  <si>
    <t>电动餐桌</t>
  </si>
  <si>
    <t>∅2400*750</t>
  </si>
  <si>
    <t>1、选材：采用白蜡木厚度台面≥25mm其余≥16mm，木材质地细密，耐磨损，又有光泽，不易变形。
2、处理：采用白蜡木蒸汽烘干热处理，达到不变形不开裂的效果，台面采用石英石，要求具有稳定性，强耐酸碱、抗腐蚀。
3、配件：带实木板电动转盘。</t>
  </si>
  <si>
    <t>常规520*520*920</t>
  </si>
  <si>
    <t>橡内框架：采用实木框架+夹板结构，木制构件全部经过烘干处理，木构件四面刨光，内部木材含水率8%-12%，木材防虫防腐处理，内部衬垫物干燥卫生，无腐烂变质、无夹杂泥沙及金属杂物，所有内部填充物清洁无异味                                 
面料：采用优质环保西皮，柔软而富有韧性，手感舒适，经液态浸色及防潮等工艺处理，光泽持久性透气性强、耐磨性强、无异味、弹性好、肌理清晰，健康环保，经久耐用                                                                                                              海绵：采用高密度、高回弹原生棉，软硬适中，回弹性能好，抗变形能力强，根据人体工程学原理设计，坐感舒适。                                                                                                                                                              脚架：白蜡实木，含水率8%-12%，经高温烘烤，防虫、防霉变；表面采用环保油性清漆处理，抗磨花能力强、防水性能好。</t>
  </si>
  <si>
    <t>1#1F车库</t>
  </si>
  <si>
    <t>战斗服架</t>
  </si>
  <si>
    <t>850*850*2100</t>
  </si>
  <si>
    <t xml:space="preserve">选用优质冷轧钢板。钢板厚度（mm）：立柱：壁厚≥1.2mm横梁：壁厚≥1.5mm层板：壁厚≥0.8mm。载重≥250kg/层。
1.规格：850*850*1950
2.重量：＞110kg
3.最大功率：小于 1000W
4.应配备双面存放单元，可同时满足战斗服和救援服的存放
5.单元组成：转动组件、顶架组件、底架组件、衣架组件、支架组件、旋转舱组件、限位组
件、电源组件、照明组件、置物架组件、烘干组件、面板组件、底座固定组件
6.旋转舱能实现 360 度任意角度旋转
7.置物架：应设有上、中、下三层置物架
8.挂钩设置：中面板设置有透气孔和挂钩，满足呼吸面罩，头罩等装备的悬挂设置
9.衣架承重：采用金属材质，施加 20KG 拉力的情况下衣架应无变形
10.电源管理模块：应配备 USB5V 标准输出、220V 交流输出，可在 0-120min 时间内自由设定
充电时间
11.除湿模块：面板内部应配备加热板，可对衣物进行除湿，加热可在 0-120min 时间内自由
设定
12.旋转限位装置：应能对旋转舱进行固定，旋转 180 度自动限位，并且能保持正常状态
13.旋转助力装置：旋转框架本体两面应各配备有旋转助力装置，装置为对角安装
14.涂层颜色：外观以红蓝配色，顶架、底架以消防红配色，立柱以消防蓝配色
15.信息展示位：管理舱顶部应设有展示位，可放置人员信息展示表
16.照明装置：配备声控照明装备，灯的数量应为两盏
基本安全：
2.1 抗电强度：AC1500V,50Hz,1min，应无飞弧或击穿现象
</t>
  </si>
  <si>
    <t>1#1F训练器材库+器材修理室</t>
  </si>
  <si>
    <t>货架</t>
  </si>
  <si>
    <t>850*390*1850</t>
  </si>
  <si>
    <t>修理台桌</t>
  </si>
  <si>
    <t>1500mm*80mm*60mm</t>
  </si>
  <si>
    <t>1.层板材料选用钢材，表面烤漆工艺
2.台面采用防静电胶皮
3.承重力1吨
4.设有可调节静音防滑脚面</t>
  </si>
  <si>
    <t>1#1F通讯室</t>
  </si>
  <si>
    <t>1200*750*900</t>
  </si>
  <si>
    <t>1.框架结构：承重梁1.5mm，内部主框架为1.2mm冷轧钢板，前后门1.0mm冷轧钢板，防静电喷塑处理。2.台面板：环保板，整体厚度为25mm。3.手枕材料：台面前端采用聚氨酯加模压成型的手枕边，保证手臂工作时的舒适性，具有良好的抗刮，耐磨及耐腐蚀效果，可抗长期连续使用造成的强磨损。4.后背墙：铝型材，防静电喷塑处理，有用于显示器支架悬挂的凹槽</t>
  </si>
  <si>
    <t>木制高低床 床含3公分棕垫</t>
  </si>
  <si>
    <t>1000*2000*950含床箱2抽屉</t>
  </si>
  <si>
    <t xml:space="preserve">1、基材： 优质板≥16mm，甲醛释放含量达到国标E0级标准，防火、防潮、耐 磨、耐酸碱、耐烫、耐污染。          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</si>
  <si>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 xml:space="preserve">1、基材： 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</si>
  <si>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>定制柜子连门</t>
  </si>
  <si>
    <t>按现场尺寸制作</t>
  </si>
  <si>
    <t>800*600*2000</t>
  </si>
  <si>
    <t>定制柜上门物资下门鞋柜</t>
  </si>
  <si>
    <t>1#2F小会议室30.7平方米</t>
  </si>
  <si>
    <t>4000*1600*750</t>
  </si>
  <si>
    <t>1、基材：采用国标E0级标准MFC板，台面≥41mm甲醛释放含量≤0.05mg/m³。
2、封边：优质同色PVC封边条。
3、钢架40mm*40mm优质铝合金电镀脚架，表面粉体涂装，桌脚和横梁之间采用专利快拆结构连接，拆装灵活连接稳固。</t>
  </si>
  <si>
    <t>580*540*930</t>
  </si>
  <si>
    <t>网布：双层网布结构，表面防水防污处理。
海绵：密度30KG/M3原生海绵坐垫，5公分厚度。
曲木板：坐垫曲木板≥14mm多层曲木板。
底盘：安全防爆底盘，2档调节，承重102KG。
气压棒：气杆升降行程10CM，厚壁管≥2mm。
椅脚：尼龙椅脚，半径320cm，1136KG抗冲击测试。
椅轮：60MM尼龙轮。
结构功能：升降扶手可上下调节80MM，PU扶手面，腰靠可调节上下位置。</t>
  </si>
  <si>
    <t>1#2F培训宿舍*3间</t>
  </si>
  <si>
    <t>2000*1200*1800</t>
  </si>
  <si>
    <t>棕垫</t>
  </si>
  <si>
    <t>2000*1200*50</t>
  </si>
  <si>
    <t>定制衣柜8人用单门600</t>
  </si>
  <si>
    <t>2400*600*高度到顶，按现场尺寸定制</t>
  </si>
  <si>
    <t>1#2F漱洗室</t>
  </si>
  <si>
    <t>方管亚光脸盆架</t>
  </si>
  <si>
    <t>5240*600*420</t>
  </si>
  <si>
    <t>全304不锈钢</t>
  </si>
  <si>
    <t>1#2F室外平台</t>
  </si>
  <si>
    <t>藤椅</t>
  </si>
  <si>
    <t>规格：900mm*900mm*730mm</t>
  </si>
  <si>
    <t xml:space="preserve">
1、桌：全铝合金材料，具有防水，防刮花，防生锈特性，耐晒，加粗桌腿≈50mm，底部防锈螺丝固定，配防滑耐磨脚垫
2、椅：铁架框架具有牢固，防水，防刮花，防生锈特性+PVC坐面具有强度高，一体成型，韧性好，不易断裂</t>
  </si>
  <si>
    <t>1#2F站务部1</t>
  </si>
  <si>
    <t xml:space="preserve">办公桌       </t>
  </si>
  <si>
    <t>主桌1600*800*750侧柜1200*400*650</t>
  </si>
  <si>
    <t xml:space="preserve">1、基材： 采用国标E0级标准MFC板，台面脚片≥41mm其余≥16mm甲醛释放含量≤0.05mg/m³。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3.封边：采用激活封边机封边，无胶工艺，封边严密、平整、无脱胶、表面无胶渍，较普通封边防水性能更好；
4、五金配件：采用优质五金。
</t>
  </si>
  <si>
    <t>800×400×2000</t>
  </si>
  <si>
    <t>860*870*820</t>
  </si>
  <si>
    <t>1、框架：优质实木框架，含水率≤10%；
2、皮料：具有舒适透气、坚实耐磨；
3、海绵：高密度高回弹海绵，座面海绵密度达到≥30.0以上，回弹性能≥40%以上，不易变形；
4、沙发脚：1、管材壁厚应用≥1.8材料；2、喷涂光滑均匀，色泽统一，无流挂、疙瘩、邹皮、脱层等现象；</t>
  </si>
  <si>
    <t>三人位沙发</t>
  </si>
  <si>
    <t>1880*870*820</t>
  </si>
  <si>
    <t>长茶桌</t>
  </si>
  <si>
    <t>1200*600*450</t>
  </si>
  <si>
    <t>1、基材：采用国标E0级标准MFC板，台面≥25mm其余≥16mm甲醛释放含量≤0.05mg/m³。
2、封边：优质同色PVC封边条。
3、钢架20mm*20mm优质铝合金电镀脚架，表面粉体涂装，桌脚和横梁之间采用专利快拆结构连接，拆装灵活连接稳固。</t>
  </si>
  <si>
    <t>方茶几</t>
  </si>
  <si>
    <t>600*600*450</t>
  </si>
  <si>
    <t>1#2F站务部2</t>
  </si>
  <si>
    <t>1#2F干部备勤室、备勤室</t>
  </si>
  <si>
    <t>床含3公分棕垫抽屉</t>
  </si>
  <si>
    <t>1200*2000含床箱抽屉2个</t>
  </si>
  <si>
    <t xml:space="preserve">1、基材：采用国标E0级标准MFC板≥16mm，甲醛释放含量达到国标E0级标准，防火、防潮、耐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4、五金配件：采用优质五金棕垫。基材：采用天然棕树的棕衣制成。面料透气性好，防尘，柔软舒适。
</t>
  </si>
  <si>
    <t>1500*2000含床箱抽屉2个</t>
  </si>
  <si>
    <t>组合柜</t>
  </si>
  <si>
    <t>600*600*高度到顶</t>
  </si>
  <si>
    <t>书桌含吊柜</t>
  </si>
  <si>
    <t>800*600*高度到顶</t>
  </si>
  <si>
    <t>书椅</t>
  </si>
  <si>
    <t>550*520*460/860</t>
  </si>
  <si>
    <t>组合柜含两边衣柜鞋柜写字桌中间电视柜</t>
  </si>
  <si>
    <t>9600*600*3000按实际尺寸制作</t>
  </si>
  <si>
    <t>洽谈桌椅</t>
  </si>
  <si>
    <t>一桌两椅</t>
  </si>
  <si>
    <t xml:space="preserve">面料：采用优质布艺覆面，游离甲醛未检出，无色差，经液态浸色及防潮、工艺处理，光泽持久性透气性强、耐磨性强、无异味、弹性好、肌理清晰，健康环保，经久耐用                                              
海绵：采用高密度、高回弹原生棉，软硬适中，回弹性能好，抗变形能力强，根据人体工程学原理设计，坐感舒适。                                                 脚：进口白蜡实木，含水率8-12%，经高温烘烤，防虫、防霉变；表面采用环保油漆处理，抗磨花能力强、防水性能好。  </t>
  </si>
  <si>
    <t>1#3F储藏室</t>
  </si>
  <si>
    <t>衣柜含镜子</t>
  </si>
  <si>
    <t>1000*600*2到顶</t>
  </si>
  <si>
    <t>1、面材：胡桃木木皮贴面，色泽均匀，纹理清晰台面厚度≥50mm   2、基材：采用国标E0级中密度纤维板，甲醛释放量≤0.124mg/m³。经过防虫、防腐等化学处理，持久不变形 。    3、优质五金，耐氧化、耐腐蚀，经久耐用。4、油漆：环保聚酯漆。采用底着色工艺，经五底三面磨退工艺处理，硬度达到2-3H级。成品木纹清晰。
5、封边：选用实木木皮封边，底层采用木皮封底，防止因环境温差引起的变形、开裂。</t>
  </si>
  <si>
    <t>1#3F贮藏室</t>
  </si>
  <si>
    <t>900*450*2000</t>
  </si>
  <si>
    <t>1#3F电视电话会议室187.7平方米</t>
  </si>
  <si>
    <t>条形会议桌</t>
  </si>
  <si>
    <t>1600*600*760</t>
  </si>
  <si>
    <t xml:space="preserve">1、基材： 采用国标E0级标准MFC板≥41MM厚，甲醛释放含量达到国标E0级标准，防火、防潮、耐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</si>
  <si>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>800*600*760</t>
  </si>
  <si>
    <t>常规颜色定制</t>
  </si>
  <si>
    <t>条形会议桌带挡水条</t>
  </si>
  <si>
    <t>1400*600*760</t>
  </si>
  <si>
    <t>1#3F医务室</t>
  </si>
  <si>
    <t>1600*1600*760</t>
  </si>
  <si>
    <t xml:space="preserve">1、基材： 采用国标E0级标准MFC板，台面≥25MM厚其余≥16mm，防火、防潮、耐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
</t>
  </si>
  <si>
    <t>网布：双层网布结构，表面防水防污处理。
海绵：密度&gt;50KG/M3定型海绵，回弹力40%以上，厚度6公分，HD测试永不变形。
曲木板：坐垫曲木板为14mm多层曲木板。
加粗管材，不易变形，经久耐用，椅子承重能力强结实稳定，不易变形。
选用品牌材质，健康舒适，稳定性好。靠背弓形设置，符合科学的人体久坐学理，</t>
  </si>
  <si>
    <t>1#3F心理咨询室</t>
  </si>
  <si>
    <t>2000*900*750</t>
  </si>
  <si>
    <t>网布：双层网布结构，表面防水防污处理。
海绵：密度&gt;50KG/M3定型海绵，回弹力40%以上，厚度6公分，HD测试永不变形。
曲木板：坐垫曲木板为14mm多层曲木板。
加粗管材，不易变形，经久耐用，椅子承重能力强结实稳定，不易变形。
选用品牌材质，健康舒适，稳定性好。靠背弓形设置，符合科学的人体久坐学理。</t>
  </si>
  <si>
    <t>接待沙发</t>
  </si>
  <si>
    <t>两人位</t>
  </si>
  <si>
    <t>面料：优质布艺覆面，游离甲醛未检出，无色差，经液态浸色及防潮、工艺处理，光泽持久性透气性强、耐磨性强、无异味、弹性好、肌理清晰，健康环保，经久耐用。                                                                                                                  海绵：采用高密度、高回弹原生棉，软硬适中，回弹性能好，抗变形能力强，根据人体工程学原理设计，坐感舒适。                                                    内框架：内框架采用多层实木框架，木制构件全部经过烘干处理，木构件四面刨光，内部木材含水率8%-12%，木材防虫防腐处理，尼龙编织带穿插编织打底，与泡棉间隔垫麻布。 内部衬垫物干燥卫生，无腐烂变质、无夹杂泥沙及金属杂物，所有内部填充物清洁无异味。                                  
脚：实木脚可以做木色，橙色，黑色</t>
  </si>
  <si>
    <t>茶几</t>
  </si>
  <si>
    <t>基材：采用优质白蜡木皮贴面，纹理自然高档、防污、耐冲击、耐磨性强，无节疤、腐朽、裂纹、虫眼、夹皮、变色等缺陷，无色差。
油漆：采用环保油性漆，有害物质释放量达到国家相关环保标准；表面平整，无明显颗粒、渣点，颜色均匀，硬度高，耐磨性强，能长久保持漆面效果；封闭底着色油漆工艺，经四底两面，清晰体现实木质感。 
脚：进口白蜡实木，含水率8%-12%，经高温烘烤，防虫、防霉变；表面采用环保油性清漆处理，抗磨花能力强、防水性能好。</t>
  </si>
  <si>
    <t>1#3F火焰蓝报告厅</t>
  </si>
  <si>
    <t>剧场椅蓝色高度定制</t>
  </si>
  <si>
    <t>座椅总宽度660mm，中心距580mm，扶手宽度80mm，座椅长度520mm，
座椅深度710mm，椅背高度1000mm，扶手框高度625mm，座高445mm。</t>
  </si>
  <si>
    <t xml:space="preserve">张 </t>
  </si>
  <si>
    <t>1.椅背/椅座外壳：采用优质硬木七层弯曲木板外覆榉木皮，油面采用环保油漆，整体美观大方抗变形。座板上设有多个吸音孔，采用独特的吸音设计。背板尺寸：520*770*17±5mm，座板尺寸：425*440*12±5mm。
2.海绵： 采用冷发泡定型海绵，高密度（46Kg/M3 ），使座椅在长时间使用下不变形，符合“人体形态学”工程原理，舒适度好，回弹性好，永不变形。背海绵尺寸：470*740±5mm，厚度90-120mm，座海绵尺寸：490*455*145±5mm。
3.扶手框架：采用优质钢材1.6mm钢板模压成型板材制作，经过磨具压成形焊制并喷塑而成，表面平整光洁、喷塑均匀。扶手架顶端装有2颗塑料软钉，作为与扶手盖板相接触时的缓冲，侧面的挡板采用内插式工艺，且在写字板与扶手框相接处有面料保护层，防止写字板在收回时发生划伤，挡板材质为采用厚3mm的优质密度板，加附颐达毛麻面料，永不会因塑料老化问题而发生脱落，相比外扣式护板更加经久耐用。扶手框上端长415mm±5mm，下端长265mm±5mm，框高340mm±5mm，宽度75±5mm。
4.站脚：采用优质钢材1.6mm钢板模压成型板材制作，经过磨具压成形焊制并喷塑而成，表面平整光洁、喷塑均匀。站脚部分高：255±5mm，脚管尺寸：40*80±5mm，底脚尺寸：310*74*26±5mm。
5.★写字板：板面为三聚氰胺写字板，四周PVC封边，板面尺寸：262*235*15mm；托盘采用一体成型的铁质外壳（尺寸：155*140mm），连接支架为直径15mm的铸铁圆柱。写字板不使用时可收藏于扶手框内部，使用时可利用板面背后的不锈钢扣手取出。
6.扶手： 采用榉木实木加工成型，外履烤漆，采用脱水干燥缓冲处理，外履环保烤漆后能有效地耐磨、耐污、不易褪色。执行GB 18581-2001标准。扶手尺寸为420*80*22±5mm。
7.布料： 面料为台湾颐达优质毛麻高级装饰面料，手感良好，外形饱满挺括，舒适耐用，不因频繁使用而起皱变形，可加工阻燃以及防静电处理。
8.坐垫机构：采用两侧受力结构，使座包在外力作用与背相碰撞时受力点不在海绵上，而在座包两侧的角码上，从而更加耐用、牢固、更舒适。座包内部采用单弹簧加55N气杆回位机构，回位灵巧，无回位噪音。座内框结构为木框，结实耐用无故障，性价比高，内框尺寸：400*428*55±5mm。
9.固定方式：采用防锈静电喷涂内六角膨胀螺丝。外扣胶塞，安全美观。
包装方式：礼堂椅脚片货物必须整装发货（脚架上的扶手盖、写字板和护板必须在发货前组装好）最大化地避免漏发配件的情况以及加快在工地的安装时效。货物包装箱标准为130磅双瓦楞纸箱，最大可能减少物流途中损坏。</t>
  </si>
  <si>
    <t>1#4F宣泄室</t>
  </si>
  <si>
    <t>组合沙发</t>
  </si>
  <si>
    <t>2800+4200+2800*750*450/720</t>
  </si>
  <si>
    <t>面材采用优质面料，表面缝纫外形饱满、圆滑一致，缝纫线均匀一致，经纬线平直，无明显浮线跳针；泡棉采用台湾低燃性成型泡棉（阻燃级别高且柔软性能好、回弹性高），表面有一层保护面，可防氧化，防碎，经过HD测试永不变，通过BS7174-1995安全测试标准，各项指标均达国家标准。</t>
  </si>
  <si>
    <t>直径800*750</t>
  </si>
  <si>
    <t>1、基材： 优质环保实木多层板，甲醛释放含量≤0.05mg/m³，达到国标E0级标准，防火、防潮、耐 磨、耐酸碱、耐烫、耐污染。
2、封边：优质同色PVC封边条，甲醛释放量达国标E0级标准，耐干热、耐磨、耐老化。
3、钢架优质铝合金电镀脚架，表面粉体涂装，桌脚和横梁之间采用专利快拆结构连接，拆装灵活连接稳固。抗氧化能力强。底层无漏喷、锈蚀和脱色、掉色现象，涂层 光滑均匀、色泽一致，无流挂、疙瘩、飞漆等缺陷。</t>
  </si>
  <si>
    <t>1#4F电子阅览室</t>
  </si>
  <si>
    <t>电脑桌</t>
  </si>
  <si>
    <t>1#4F综合讨论区取消</t>
  </si>
  <si>
    <t>一桌4椅</t>
  </si>
  <si>
    <t>桌子直径800*750椅子常规</t>
  </si>
  <si>
    <t xml:space="preserve">面料：选用优质环保西皮，柔软而富有韧性，手感舒适，经液态浸色及防潮等工艺处理，光泽持久性透气性强、耐磨性强、无异味、弹性好、肌理清晰，健康环保，经久耐用。                                                                                       海绵：采用高密度、高回弹原生棉。软硬适中，回弹性能好，抗变形能力强，根据人体工程学原理设计，坐感舒适。                                                                      内框架：内框架采用实木框架+夹板结构，木制构件全部经过烘干处理，木构件四面刨光，内部木材含水率8%-12%，木材防虫防腐处理， 内部衬垫物干燥卫生，无腐烂变质、无夹杂泥沙及金属杂物，所有内部填充物清洁无异味。                                       
配件：采用品牌优质冷轧钢管，表面静电粉末喷涂钢制处理，钢材焊接，经过打磨、树脂高温固化等工艺。表面呈磨砂、黑色哑光工艺。抗氧化能力强。层无漏喷、锈蚀和脱色、  掉色现象，涂层 光滑均匀、色泽一致，无流挂、疙瘩、飞漆等缺陷。圆桌基材：采用25MM厚E1级纤维板；表面采用优质白蜡木皮贴面，纹理自然高档、防污、耐冲击、耐磨性强，无节疤、腐朽、裂纹、虫眼、夹皮、变色等缺陷，无色差基材，承重力强，稳定性好。
油漆：采用环保油性漆，有害物质释放量达到国家相关环保标准；表面平整，无明显颗粒、渣点，颜色均匀，硬度高，耐磨性强，能长久保持漆面效果；封闭底着色油漆工艺，经四底两面，清晰体现实木质感。
配件：采用品牌优质冷轧钢管，表面静电粉末喷涂钢制处理，钢材焊接，经过打磨、树脂高温固化等工艺。表面呈磨砂、黑色哑光工艺。抗氧化能力强。层无漏喷、锈蚀和脱色、  掉色现象，涂层 光滑均匀、色泽一致，无流挂、疙瘩、皱皮、飞漆等缺陷。
</t>
  </si>
  <si>
    <t>吧椅</t>
  </si>
  <si>
    <t>510*500*710/950</t>
  </si>
  <si>
    <t>面料：优质布艺覆面，游离甲醛未检出，无色差，经液态浸色及防潮、工艺处理，光泽持久性透气性强、耐磨性强、无异味、弹性好、肌理清晰，健康环保，经久耐用。
海绵：用高密度定型棉，密度为≥40kg/m³，回弹性能≥60%，压缩永久变形≤3%；理化性能符合国家现行标准。软硬适中，反复坐压不变形、不塌陷，表面涂有防止老化变形的保护膜；压膜量达到国家现行检测标准。质国标五金配件，耐氧化、耐腐蚀，经久耐用，符合金属家具通用技术条件GB/T 3325-2017。
脚：优质管碳素钢管焊接而成，表面呈磨砂、黑色哑光工艺。抗氧化能力强。层无漏喷、锈蚀和脱色、掉色现象，涂层 光滑均匀、色泽一致，无流挂、疙瘩、飞漆等缺。</t>
  </si>
  <si>
    <t>1#4F消防员活动区，9球</t>
  </si>
  <si>
    <t>单人沙发</t>
  </si>
  <si>
    <t>540*620*750</t>
  </si>
  <si>
    <t>1、框架：优质实木框架，含水率≤10%，无朽木、无冲蚀、材质坚硬、承重力强；
2、皮料：具有舒适透气、坚实耐磨、具有防静电、防滑、抗老化等效果；
3、海绵：高密度高回弹海绵，座面海绵密度达到≥30.0以上，回弹性能≥40%以上，不易变形；
4、沙发脚：拉丝不锈钢，外观极简、细节精致，拥有自动回位功能；</t>
  </si>
  <si>
    <t>方几</t>
  </si>
  <si>
    <t>直径400*400*450</t>
  </si>
  <si>
    <t>1#4F阅读区</t>
  </si>
  <si>
    <t>2600*1250*750</t>
  </si>
  <si>
    <t>1、框架：优质实木框架，含水率≤9%，无朽木、无虫蚀、材质坚硬、承重力强；
2、面料：耐干摩擦（级）≥4以上，具有防静电、防滑等效果；
3、内部材质：高密度高回弹海绵，海绵密度达到≥30.0以上，回弹性能≥40%以上，不易变形；
4、沙发脚：1、管材壁厚应用≥1.8材料；2、喷涂光滑均匀，色泽统一，无流挂、疙瘩、邹皮、脱层等现象；</t>
  </si>
  <si>
    <t>圆茶几</t>
  </si>
  <si>
    <t>Ø668*360</t>
  </si>
  <si>
    <r>
      <rPr>
        <sz val="12"/>
        <rFont val="宋体"/>
        <charset val="134"/>
      </rPr>
      <t>基材：采用“三威”品牌E1级中密度纤维板，含水率控制在3.0~13.0%范围内，板材密度控制在0.65~0.8g/c</t>
    </r>
    <r>
      <rPr>
        <sz val="12"/>
        <rFont val="Arial Unicode MS"/>
        <charset val="134"/>
      </rPr>
      <t>㎥</t>
    </r>
    <r>
      <rPr>
        <sz val="12"/>
        <rFont val="宋体"/>
        <charset val="134"/>
      </rPr>
      <t>，符合国家标准技术要求；甲醛释放量小于0.124mg/</t>
    </r>
    <r>
      <rPr>
        <sz val="12"/>
        <rFont val="Arial Unicode MS"/>
        <charset val="134"/>
      </rPr>
      <t>㎥</t>
    </r>
    <r>
      <rPr>
        <sz val="12"/>
        <rFont val="宋体"/>
        <charset val="134"/>
      </rPr>
      <t>（气候箱法），TOVC释放率小于0.50mg/（㎡·h）（72h），甲醛、TOVC检测数据均优于国家标准
油漆：采用“展辰”牌水性木器环保漆，美观、光滑耐磨、不变色、无气味，苯系物含量（苯、甲苯、乙苯、二甲苯总和）小于100mg/kg，游离甲醛含量小于50mg/kg，乙二醇醚及醚酯总和含量（乙二醇甲醚、乙二醇甲醚醋酸酯、乙二醇乙醚、乙二醇乙醚醋酸酯、乙二醇二甲醚、乙二醇二乙醚、二乙醇二甲醚、三乙二醇二甲醚）小于100mg/kg，挥发性有机化合物（VOC）小于70g/L，检测数据均优于国家标准
表面：表面光亮平整，有光泽，整体效果好</t>
    </r>
  </si>
  <si>
    <t>沙发凳</t>
  </si>
  <si>
    <t>直径550*440</t>
  </si>
  <si>
    <t>面料：优质布艺覆面，游离甲醛未检出，无色差，经液态浸色及防潮、防污等工艺处理，光泽持久性透气性强、耐磨性强、无异味、弹性好、肌理清晰，健康环保，经久耐用。
海绵：采用高密度、高回弹原生棉，软硬适中，回弹性能好，抗变形能力强，根据人体工程学原理设计，坐感舒适。
内框架：内框架采用实木框架+夹板结构，木制构件全部经过烘干处理，木构件四面刨光，内部木材含水率8%-12%，木材防虫防腐处理， 内部衬垫物干燥卫生，无腐烂变质、无夹杂泥沙及金属杂物，所有内部填充物清洁无异味。
配件：PP塑料脚垫</t>
  </si>
  <si>
    <t>800*780*800</t>
  </si>
  <si>
    <t>1#4F家属探亲用房</t>
  </si>
  <si>
    <t>1、基材：采用国标E0级标准MFC板≥16mm，甲醛释放含量达到国标E0级标准，防火、防潮、耐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4、五金配件：采用优质五金棕垫。基材：采用天然棕树的棕衣制成。面料透气性好，防尘，柔软舒适。</t>
  </si>
  <si>
    <t>1800*2000</t>
  </si>
  <si>
    <t>1、基材： 优质板≥16mm，甲醛释放含量达到国标E0级标准，防火、防潮、耐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</t>
  </si>
  <si>
    <t>450*400*500</t>
  </si>
  <si>
    <t>1、基材： 采用国标E0级标准MFC板≥16mm，甲醛释放含量达到国标E0级标准，防火、防潮、耐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</t>
  </si>
  <si>
    <t>1800*600*2200</t>
  </si>
  <si>
    <t>2000*500*750</t>
  </si>
  <si>
    <t>1、基材： 采用国标E0级标准MFC板，台面脚片≥41mm其余≥16mm台面脚片≥41mm其余≥16mm，甲醛释放含量达到国标E0级标准，防火、防潮、耐 磨、耐酸碱、耐烫、耐污染。                              2.面材：用优质的耐磨、耐划痕、耐酸碱、耐水、耐烫、耐化学污染、不易磨花的三聚氰胺浸渍胶膜木纹饰面板，甲醛释放量符合E0级标准 
3.封边：采用激活封边机封边，无胶工艺，封边严密、平整、无脱胶、表面无胶渍，
4、五金配件：采用优质五金。</t>
  </si>
  <si>
    <t>鞋架</t>
  </si>
  <si>
    <t>400*340*900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</si>
</sst>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新細明體"/>
      <charset val="134"/>
    </font>
    <font>
      <sz val="12"/>
      <name val="新細明體"/>
      <charset val="134"/>
    </font>
    <font>
      <sz val="12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7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8">
      <alignment vertical="center"/>
    </xf>
    <xf numFmtId="0" fontId="14" fillId="0" borderId="8">
      <alignment vertical="center"/>
    </xf>
    <xf numFmtId="0" fontId="15" fillId="0" borderId="9">
      <alignment vertical="center"/>
    </xf>
    <xf numFmtId="0" fontId="15" fillId="0" borderId="0">
      <alignment vertical="center"/>
    </xf>
    <xf numFmtId="0" fontId="16" fillId="3" borderId="10">
      <alignment vertical="center"/>
    </xf>
    <xf numFmtId="0" fontId="17" fillId="4" borderId="11">
      <alignment vertical="center"/>
    </xf>
    <xf numFmtId="0" fontId="18" fillId="4" borderId="10">
      <alignment vertical="center"/>
    </xf>
    <xf numFmtId="0" fontId="19" fillId="5" borderId="12">
      <alignment vertical="center"/>
    </xf>
    <xf numFmtId="0" fontId="20" fillId="0" borderId="13">
      <alignment vertical="center"/>
    </xf>
    <xf numFmtId="0" fontId="21" fillId="0" borderId="14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4" fillId="0" borderId="0"/>
    <xf numFmtId="0" fontId="0" fillId="0" borderId="0">
      <alignment vertical="center"/>
    </xf>
    <xf numFmtId="0" fontId="27" fillId="0" borderId="0">
      <alignment vertical="center"/>
    </xf>
    <xf numFmtId="0" fontId="28" fillId="0" borderId="0"/>
  </cellStyleXfs>
  <cellXfs count="60">
    <xf numFmtId="0" fontId="0" fillId="0" borderId="0" xfId="0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center"/>
    </xf>
    <xf numFmtId="0" fontId="0" fillId="0" borderId="0" xfId="0" applyFill="1" applyAlignment="1">
      <alignment horizontal="left"/>
    </xf>
    <xf numFmtId="0" fontId="1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indent="2"/>
    </xf>
    <xf numFmtId="0" fontId="4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indent="2"/>
    </xf>
    <xf numFmtId="0" fontId="4" fillId="0" borderId="1" xfId="49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7" fillId="0" borderId="1" xfId="5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indent="2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top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4" fillId="0" borderId="1" xfId="0" applyNumberFormat="1" applyFont="1" applyFill="1" applyBorder="1">
      <alignment vertical="center"/>
    </xf>
    <xf numFmtId="176" fontId="6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8" xfId="49"/>
    <cellStyle name="常规 5 2" xfId="50"/>
    <cellStyle name="一般 2" xfId="51"/>
    <cellStyle name="常规_订单确认单1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108.png"/><Relationship Id="rId98" Type="http://schemas.openxmlformats.org/officeDocument/2006/relationships/image" Target="media/image107.jpeg"/><Relationship Id="rId97" Type="http://schemas.openxmlformats.org/officeDocument/2006/relationships/image" Target="media/image106.jpeg"/><Relationship Id="rId96" Type="http://schemas.openxmlformats.org/officeDocument/2006/relationships/image" Target="media/image105.jpeg"/><Relationship Id="rId95" Type="http://schemas.openxmlformats.org/officeDocument/2006/relationships/image" Target="media/image104.png"/><Relationship Id="rId94" Type="http://schemas.openxmlformats.org/officeDocument/2006/relationships/image" Target="media/image103.png"/><Relationship Id="rId93" Type="http://schemas.openxmlformats.org/officeDocument/2006/relationships/image" Target="media/image102.jpeg"/><Relationship Id="rId92" Type="http://schemas.openxmlformats.org/officeDocument/2006/relationships/image" Target="media/image101.jpeg"/><Relationship Id="rId91" Type="http://schemas.openxmlformats.org/officeDocument/2006/relationships/image" Target="media/image100.png"/><Relationship Id="rId90" Type="http://schemas.openxmlformats.org/officeDocument/2006/relationships/image" Target="media/image99.png"/><Relationship Id="rId9" Type="http://schemas.openxmlformats.org/officeDocument/2006/relationships/image" Target="media/image19.png"/><Relationship Id="rId89" Type="http://schemas.openxmlformats.org/officeDocument/2006/relationships/image" Target="media/image98.jpeg"/><Relationship Id="rId88" Type="http://schemas.openxmlformats.org/officeDocument/2006/relationships/image" Target="media/image97.png"/><Relationship Id="rId87" Type="http://schemas.openxmlformats.org/officeDocument/2006/relationships/image" Target="media/image96.png"/><Relationship Id="rId86" Type="http://schemas.openxmlformats.org/officeDocument/2006/relationships/image" Target="media/image95.jpeg"/><Relationship Id="rId85" Type="http://schemas.openxmlformats.org/officeDocument/2006/relationships/image" Target="media/image94.jpeg"/><Relationship Id="rId84" Type="http://schemas.openxmlformats.org/officeDocument/2006/relationships/image" Target="media/image93.jpeg"/><Relationship Id="rId83" Type="http://schemas.openxmlformats.org/officeDocument/2006/relationships/image" Target="media/image92.png"/><Relationship Id="rId82" Type="http://schemas.openxmlformats.org/officeDocument/2006/relationships/image" Target="media/image2.png"/><Relationship Id="rId81" Type="http://schemas.openxmlformats.org/officeDocument/2006/relationships/image" Target="media/image91.png"/><Relationship Id="rId80" Type="http://schemas.openxmlformats.org/officeDocument/2006/relationships/image" Target="media/image90.png"/><Relationship Id="rId8" Type="http://schemas.openxmlformats.org/officeDocument/2006/relationships/image" Target="media/image18.png"/><Relationship Id="rId79" Type="http://schemas.openxmlformats.org/officeDocument/2006/relationships/image" Target="media/image89.jpeg"/><Relationship Id="rId78" Type="http://schemas.openxmlformats.org/officeDocument/2006/relationships/image" Target="media/image88.jpeg"/><Relationship Id="rId77" Type="http://schemas.openxmlformats.org/officeDocument/2006/relationships/image" Target="media/image87.png"/><Relationship Id="rId76" Type="http://schemas.openxmlformats.org/officeDocument/2006/relationships/image" Target="media/image86.png"/><Relationship Id="rId75" Type="http://schemas.openxmlformats.org/officeDocument/2006/relationships/image" Target="media/image85.png"/><Relationship Id="rId74" Type="http://schemas.openxmlformats.org/officeDocument/2006/relationships/image" Target="media/image84.jpeg"/><Relationship Id="rId73" Type="http://schemas.openxmlformats.org/officeDocument/2006/relationships/image" Target="media/image83.jpeg"/><Relationship Id="rId72" Type="http://schemas.openxmlformats.org/officeDocument/2006/relationships/image" Target="media/image82.png"/><Relationship Id="rId71" Type="http://schemas.openxmlformats.org/officeDocument/2006/relationships/image" Target="media/image81.jpeg"/><Relationship Id="rId70" Type="http://schemas.openxmlformats.org/officeDocument/2006/relationships/image" Target="media/image80.jpeg"/><Relationship Id="rId7" Type="http://schemas.openxmlformats.org/officeDocument/2006/relationships/image" Target="media/image17.jpeg"/><Relationship Id="rId69" Type="http://schemas.openxmlformats.org/officeDocument/2006/relationships/image" Target="media/image79.png"/><Relationship Id="rId68" Type="http://schemas.openxmlformats.org/officeDocument/2006/relationships/image" Target="media/image78.png"/><Relationship Id="rId67" Type="http://schemas.openxmlformats.org/officeDocument/2006/relationships/image" Target="media/image77.jpeg"/><Relationship Id="rId66" Type="http://schemas.openxmlformats.org/officeDocument/2006/relationships/image" Target="media/image76.jpeg"/><Relationship Id="rId65" Type="http://schemas.openxmlformats.org/officeDocument/2006/relationships/image" Target="media/image75.jpeg"/><Relationship Id="rId64" Type="http://schemas.openxmlformats.org/officeDocument/2006/relationships/image" Target="media/image74.jpeg"/><Relationship Id="rId63" Type="http://schemas.openxmlformats.org/officeDocument/2006/relationships/image" Target="media/image73.jpeg"/><Relationship Id="rId62" Type="http://schemas.openxmlformats.org/officeDocument/2006/relationships/image" Target="media/image72.png"/><Relationship Id="rId61" Type="http://schemas.openxmlformats.org/officeDocument/2006/relationships/image" Target="media/image71.jpeg"/><Relationship Id="rId60" Type="http://schemas.openxmlformats.org/officeDocument/2006/relationships/image" Target="media/image70.jpeg"/><Relationship Id="rId6" Type="http://schemas.openxmlformats.org/officeDocument/2006/relationships/image" Target="media/image16.png"/><Relationship Id="rId59" Type="http://schemas.openxmlformats.org/officeDocument/2006/relationships/image" Target="media/image69.png"/><Relationship Id="rId58" Type="http://schemas.openxmlformats.org/officeDocument/2006/relationships/image" Target="media/image68.png"/><Relationship Id="rId57" Type="http://schemas.openxmlformats.org/officeDocument/2006/relationships/image" Target="media/image67.png"/><Relationship Id="rId56" Type="http://schemas.openxmlformats.org/officeDocument/2006/relationships/image" Target="media/image66.jpeg"/><Relationship Id="rId55" Type="http://schemas.openxmlformats.org/officeDocument/2006/relationships/image" Target="media/image65.jpeg"/><Relationship Id="rId54" Type="http://schemas.openxmlformats.org/officeDocument/2006/relationships/image" Target="media/image64.png"/><Relationship Id="rId53" Type="http://schemas.openxmlformats.org/officeDocument/2006/relationships/image" Target="media/image63.png"/><Relationship Id="rId52" Type="http://schemas.openxmlformats.org/officeDocument/2006/relationships/image" Target="media/image62.png"/><Relationship Id="rId51" Type="http://schemas.openxmlformats.org/officeDocument/2006/relationships/image" Target="media/image61.png"/><Relationship Id="rId50" Type="http://schemas.openxmlformats.org/officeDocument/2006/relationships/image" Target="media/image60.jpeg"/><Relationship Id="rId5" Type="http://schemas.openxmlformats.org/officeDocument/2006/relationships/image" Target="media/image15.png"/><Relationship Id="rId49" Type="http://schemas.openxmlformats.org/officeDocument/2006/relationships/image" Target="media/image59.png"/><Relationship Id="rId48" Type="http://schemas.openxmlformats.org/officeDocument/2006/relationships/image" Target="media/image58.png"/><Relationship Id="rId47" Type="http://schemas.openxmlformats.org/officeDocument/2006/relationships/image" Target="media/image57.jpeg"/><Relationship Id="rId46" Type="http://schemas.openxmlformats.org/officeDocument/2006/relationships/image" Target="media/image56.png"/><Relationship Id="rId45" Type="http://schemas.openxmlformats.org/officeDocument/2006/relationships/image" Target="media/image55.png"/><Relationship Id="rId44" Type="http://schemas.openxmlformats.org/officeDocument/2006/relationships/image" Target="media/image54.jpeg"/><Relationship Id="rId43" Type="http://schemas.openxmlformats.org/officeDocument/2006/relationships/image" Target="media/image53.jpeg"/><Relationship Id="rId42" Type="http://schemas.openxmlformats.org/officeDocument/2006/relationships/image" Target="media/image52.jpeg"/><Relationship Id="rId41" Type="http://schemas.openxmlformats.org/officeDocument/2006/relationships/image" Target="media/image51.png"/><Relationship Id="rId40" Type="http://schemas.openxmlformats.org/officeDocument/2006/relationships/image" Target="media/image50.png"/><Relationship Id="rId4" Type="http://schemas.openxmlformats.org/officeDocument/2006/relationships/image" Target="media/image14.png"/><Relationship Id="rId39" Type="http://schemas.openxmlformats.org/officeDocument/2006/relationships/image" Target="media/image49.png"/><Relationship Id="rId38" Type="http://schemas.openxmlformats.org/officeDocument/2006/relationships/image" Target="media/image48.jpeg"/><Relationship Id="rId37" Type="http://schemas.openxmlformats.org/officeDocument/2006/relationships/image" Target="media/image47.png"/><Relationship Id="rId36" Type="http://schemas.openxmlformats.org/officeDocument/2006/relationships/image" Target="media/image46.png"/><Relationship Id="rId35" Type="http://schemas.openxmlformats.org/officeDocument/2006/relationships/image" Target="media/image45.png"/><Relationship Id="rId34" Type="http://schemas.openxmlformats.org/officeDocument/2006/relationships/image" Target="media/image44.png"/><Relationship Id="rId33" Type="http://schemas.openxmlformats.org/officeDocument/2006/relationships/image" Target="media/image43.png"/><Relationship Id="rId32" Type="http://schemas.openxmlformats.org/officeDocument/2006/relationships/image" Target="media/image42.png"/><Relationship Id="rId31" Type="http://schemas.openxmlformats.org/officeDocument/2006/relationships/image" Target="media/image41.png"/><Relationship Id="rId30" Type="http://schemas.openxmlformats.org/officeDocument/2006/relationships/image" Target="media/image40.jpeg"/><Relationship Id="rId3" Type="http://schemas.openxmlformats.org/officeDocument/2006/relationships/image" Target="media/image13.jpeg"/><Relationship Id="rId29" Type="http://schemas.openxmlformats.org/officeDocument/2006/relationships/image" Target="media/image39.png"/><Relationship Id="rId28" Type="http://schemas.openxmlformats.org/officeDocument/2006/relationships/image" Target="media/image38.png"/><Relationship Id="rId27" Type="http://schemas.openxmlformats.org/officeDocument/2006/relationships/image" Target="media/image37.jpeg"/><Relationship Id="rId26" Type="http://schemas.openxmlformats.org/officeDocument/2006/relationships/image" Target="media/image36.jpeg"/><Relationship Id="rId25" Type="http://schemas.openxmlformats.org/officeDocument/2006/relationships/image" Target="media/image35.png"/><Relationship Id="rId24" Type="http://schemas.openxmlformats.org/officeDocument/2006/relationships/image" Target="media/image34.png"/><Relationship Id="rId23" Type="http://schemas.openxmlformats.org/officeDocument/2006/relationships/image" Target="media/image33.png"/><Relationship Id="rId22" Type="http://schemas.openxmlformats.org/officeDocument/2006/relationships/image" Target="media/image32.jpeg"/><Relationship Id="rId21" Type="http://schemas.openxmlformats.org/officeDocument/2006/relationships/image" Target="media/image31.png"/><Relationship Id="rId20" Type="http://schemas.openxmlformats.org/officeDocument/2006/relationships/image" Target="media/image30.png"/><Relationship Id="rId2" Type="http://schemas.openxmlformats.org/officeDocument/2006/relationships/image" Target="media/image12.png"/><Relationship Id="rId19" Type="http://schemas.openxmlformats.org/officeDocument/2006/relationships/image" Target="media/image29.png"/><Relationship Id="rId18" Type="http://schemas.openxmlformats.org/officeDocument/2006/relationships/image" Target="media/image28.png"/><Relationship Id="rId17" Type="http://schemas.openxmlformats.org/officeDocument/2006/relationships/image" Target="media/image27.png"/><Relationship Id="rId164" Type="http://schemas.openxmlformats.org/officeDocument/2006/relationships/image" Target="media/image173.png"/><Relationship Id="rId163" Type="http://schemas.openxmlformats.org/officeDocument/2006/relationships/image" Target="media/image172.png"/><Relationship Id="rId162" Type="http://schemas.openxmlformats.org/officeDocument/2006/relationships/image" Target="media/image171.png"/><Relationship Id="rId161" Type="http://schemas.openxmlformats.org/officeDocument/2006/relationships/image" Target="media/image170.png"/><Relationship Id="rId160" Type="http://schemas.openxmlformats.org/officeDocument/2006/relationships/image" Target="media/image169.jpeg"/><Relationship Id="rId16" Type="http://schemas.openxmlformats.org/officeDocument/2006/relationships/image" Target="media/image26.png"/><Relationship Id="rId159" Type="http://schemas.openxmlformats.org/officeDocument/2006/relationships/image" Target="media/image168.png"/><Relationship Id="rId158" Type="http://schemas.openxmlformats.org/officeDocument/2006/relationships/image" Target="media/image167.jpeg"/><Relationship Id="rId157" Type="http://schemas.openxmlformats.org/officeDocument/2006/relationships/image" Target="media/image166.jpeg"/><Relationship Id="rId156" Type="http://schemas.openxmlformats.org/officeDocument/2006/relationships/image" Target="media/image165.jpeg"/><Relationship Id="rId155" Type="http://schemas.openxmlformats.org/officeDocument/2006/relationships/image" Target="media/image164.jpeg"/><Relationship Id="rId154" Type="http://schemas.openxmlformats.org/officeDocument/2006/relationships/image" Target="media/image163.jpeg"/><Relationship Id="rId153" Type="http://schemas.openxmlformats.org/officeDocument/2006/relationships/image" Target="media/image162.jpeg"/><Relationship Id="rId152" Type="http://schemas.openxmlformats.org/officeDocument/2006/relationships/image" Target="media/image161.jpeg"/><Relationship Id="rId151" Type="http://schemas.openxmlformats.org/officeDocument/2006/relationships/image" Target="media/image160.jpeg"/><Relationship Id="rId150" Type="http://schemas.openxmlformats.org/officeDocument/2006/relationships/image" Target="media/image159.jpeg"/><Relationship Id="rId15" Type="http://schemas.openxmlformats.org/officeDocument/2006/relationships/image" Target="media/image25.png"/><Relationship Id="rId149" Type="http://schemas.openxmlformats.org/officeDocument/2006/relationships/image" Target="media/image158.jpeg"/><Relationship Id="rId148" Type="http://schemas.openxmlformats.org/officeDocument/2006/relationships/image" Target="media/image157.jpeg"/><Relationship Id="rId147" Type="http://schemas.openxmlformats.org/officeDocument/2006/relationships/image" Target="media/image156.jpeg"/><Relationship Id="rId146" Type="http://schemas.openxmlformats.org/officeDocument/2006/relationships/image" Target="media/image155.png"/><Relationship Id="rId145" Type="http://schemas.openxmlformats.org/officeDocument/2006/relationships/image" Target="media/image154.jpeg"/><Relationship Id="rId144" Type="http://schemas.openxmlformats.org/officeDocument/2006/relationships/image" Target="media/image153.jpeg"/><Relationship Id="rId143" Type="http://schemas.openxmlformats.org/officeDocument/2006/relationships/image" Target="media/image152.jpeg"/><Relationship Id="rId142" Type="http://schemas.openxmlformats.org/officeDocument/2006/relationships/image" Target="media/image151.jpeg"/><Relationship Id="rId141" Type="http://schemas.openxmlformats.org/officeDocument/2006/relationships/image" Target="media/image150.jpeg"/><Relationship Id="rId140" Type="http://schemas.openxmlformats.org/officeDocument/2006/relationships/image" Target="media/image149.jpeg"/><Relationship Id="rId14" Type="http://schemas.openxmlformats.org/officeDocument/2006/relationships/image" Target="media/image24.png"/><Relationship Id="rId139" Type="http://schemas.openxmlformats.org/officeDocument/2006/relationships/image" Target="media/image148.jpeg"/><Relationship Id="rId138" Type="http://schemas.openxmlformats.org/officeDocument/2006/relationships/image" Target="media/image147.jpeg"/><Relationship Id="rId137" Type="http://schemas.openxmlformats.org/officeDocument/2006/relationships/image" Target="media/image146.jpeg"/><Relationship Id="rId136" Type="http://schemas.openxmlformats.org/officeDocument/2006/relationships/image" Target="media/image145.jpeg"/><Relationship Id="rId135" Type="http://schemas.openxmlformats.org/officeDocument/2006/relationships/image" Target="media/image144.jpeg"/><Relationship Id="rId134" Type="http://schemas.openxmlformats.org/officeDocument/2006/relationships/image" Target="media/image143.png"/><Relationship Id="rId133" Type="http://schemas.openxmlformats.org/officeDocument/2006/relationships/image" Target="media/image142.jpeg"/><Relationship Id="rId132" Type="http://schemas.openxmlformats.org/officeDocument/2006/relationships/image" Target="media/image141.jpeg"/><Relationship Id="rId131" Type="http://schemas.openxmlformats.org/officeDocument/2006/relationships/image" Target="media/image140.jpeg"/><Relationship Id="rId130" Type="http://schemas.openxmlformats.org/officeDocument/2006/relationships/image" Target="media/image139.jpeg"/><Relationship Id="rId13" Type="http://schemas.openxmlformats.org/officeDocument/2006/relationships/image" Target="media/image23.png"/><Relationship Id="rId129" Type="http://schemas.openxmlformats.org/officeDocument/2006/relationships/image" Target="media/image138.jpeg"/><Relationship Id="rId128" Type="http://schemas.openxmlformats.org/officeDocument/2006/relationships/image" Target="media/image137.jpeg"/><Relationship Id="rId127" Type="http://schemas.openxmlformats.org/officeDocument/2006/relationships/image" Target="media/image136.jpeg"/><Relationship Id="rId126" Type="http://schemas.openxmlformats.org/officeDocument/2006/relationships/image" Target="media/image135.jpeg"/><Relationship Id="rId125" Type="http://schemas.openxmlformats.org/officeDocument/2006/relationships/image" Target="media/image134.jpeg"/><Relationship Id="rId124" Type="http://schemas.openxmlformats.org/officeDocument/2006/relationships/image" Target="media/image133.jpeg"/><Relationship Id="rId123" Type="http://schemas.openxmlformats.org/officeDocument/2006/relationships/image" Target="media/image132.jpeg"/><Relationship Id="rId122" Type="http://schemas.openxmlformats.org/officeDocument/2006/relationships/image" Target="media/image131.jpeg"/><Relationship Id="rId121" Type="http://schemas.openxmlformats.org/officeDocument/2006/relationships/image" Target="media/image130.jpeg"/><Relationship Id="rId120" Type="http://schemas.openxmlformats.org/officeDocument/2006/relationships/image" Target="media/image129.jpeg"/><Relationship Id="rId12" Type="http://schemas.openxmlformats.org/officeDocument/2006/relationships/image" Target="media/image22.png"/><Relationship Id="rId119" Type="http://schemas.openxmlformats.org/officeDocument/2006/relationships/image" Target="media/image128.jpeg"/><Relationship Id="rId118" Type="http://schemas.openxmlformats.org/officeDocument/2006/relationships/image" Target="media/image127.jpeg"/><Relationship Id="rId117" Type="http://schemas.openxmlformats.org/officeDocument/2006/relationships/image" Target="media/image126.jpeg"/><Relationship Id="rId116" Type="http://schemas.openxmlformats.org/officeDocument/2006/relationships/image" Target="media/image125.jpeg"/><Relationship Id="rId115" Type="http://schemas.openxmlformats.org/officeDocument/2006/relationships/image" Target="media/image124.jpeg"/><Relationship Id="rId114" Type="http://schemas.openxmlformats.org/officeDocument/2006/relationships/image" Target="media/image123.png"/><Relationship Id="rId113" Type="http://schemas.openxmlformats.org/officeDocument/2006/relationships/image" Target="media/image122.png"/><Relationship Id="rId112" Type="http://schemas.openxmlformats.org/officeDocument/2006/relationships/image" Target="media/image121.png"/><Relationship Id="rId111" Type="http://schemas.openxmlformats.org/officeDocument/2006/relationships/image" Target="media/image120.jpeg"/><Relationship Id="rId110" Type="http://schemas.openxmlformats.org/officeDocument/2006/relationships/image" Target="media/image119.png"/><Relationship Id="rId11" Type="http://schemas.openxmlformats.org/officeDocument/2006/relationships/image" Target="media/image21.png"/><Relationship Id="rId109" Type="http://schemas.openxmlformats.org/officeDocument/2006/relationships/image" Target="media/image118.jpeg"/><Relationship Id="rId108" Type="http://schemas.openxmlformats.org/officeDocument/2006/relationships/image" Target="media/image117.jpeg"/><Relationship Id="rId107" Type="http://schemas.openxmlformats.org/officeDocument/2006/relationships/image" Target="media/image116.png"/><Relationship Id="rId106" Type="http://schemas.openxmlformats.org/officeDocument/2006/relationships/image" Target="media/image115.png"/><Relationship Id="rId105" Type="http://schemas.openxmlformats.org/officeDocument/2006/relationships/image" Target="media/image114.png"/><Relationship Id="rId104" Type="http://schemas.openxmlformats.org/officeDocument/2006/relationships/image" Target="media/image113.png"/><Relationship Id="rId103" Type="http://schemas.openxmlformats.org/officeDocument/2006/relationships/image" Target="media/image112.jpeg"/><Relationship Id="rId102" Type="http://schemas.openxmlformats.org/officeDocument/2006/relationships/image" Target="media/image111.png"/><Relationship Id="rId101" Type="http://schemas.openxmlformats.org/officeDocument/2006/relationships/image" Target="media/image110.png"/><Relationship Id="rId100" Type="http://schemas.openxmlformats.org/officeDocument/2006/relationships/image" Target="media/image109.png"/><Relationship Id="rId10" Type="http://schemas.openxmlformats.org/officeDocument/2006/relationships/image" Target="media/image20.png"/><Relationship Id="rId1" Type="http://schemas.openxmlformats.org/officeDocument/2006/relationships/image" Target="media/image1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117475</xdr:colOff>
      <xdr:row>182</xdr:row>
      <xdr:rowOff>66675</xdr:rowOff>
    </xdr:from>
    <xdr:to>
      <xdr:col>2</xdr:col>
      <xdr:colOff>824865</xdr:colOff>
      <xdr:row>182</xdr:row>
      <xdr:rowOff>673735</xdr:rowOff>
    </xdr:to>
    <xdr:pic>
      <xdr:nvPicPr>
        <xdr:cNvPr id="33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98850" y="209581115"/>
          <a:ext cx="707390" cy="607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203200</xdr:colOff>
      <xdr:row>85</xdr:row>
      <xdr:rowOff>304800</xdr:rowOff>
    </xdr:from>
    <xdr:to>
      <xdr:col>2</xdr:col>
      <xdr:colOff>1032510</xdr:colOff>
      <xdr:row>85</xdr:row>
      <xdr:rowOff>1623695</xdr:rowOff>
    </xdr:to>
    <xdr:pic>
      <xdr:nvPicPr>
        <xdr:cNvPr id="73" name="图片 7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584575" y="98056700"/>
          <a:ext cx="829310" cy="1143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965200</xdr:colOff>
      <xdr:row>85</xdr:row>
      <xdr:rowOff>298450</xdr:rowOff>
    </xdr:from>
    <xdr:to>
      <xdr:col>2</xdr:col>
      <xdr:colOff>1677670</xdr:colOff>
      <xdr:row>85</xdr:row>
      <xdr:rowOff>1624330</xdr:rowOff>
    </xdr:to>
    <xdr:pic>
      <xdr:nvPicPr>
        <xdr:cNvPr id="74" name="图片 7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flipH="1">
          <a:off x="4346575" y="98050350"/>
          <a:ext cx="7124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0</xdr:colOff>
      <xdr:row>27</xdr:row>
      <xdr:rowOff>0</xdr:rowOff>
    </xdr:from>
    <xdr:to>
      <xdr:col>5</xdr:col>
      <xdr:colOff>1134087</xdr:colOff>
      <xdr:row>27</xdr:row>
      <xdr:rowOff>1126132</xdr:rowOff>
    </xdr:to>
    <xdr:sp>
      <xdr:nvSpPr>
        <xdr:cNvPr id="84" name="rect"/>
        <xdr:cNvSpPr/>
      </xdr:nvSpPr>
      <xdr:spPr>
        <a:xfrm>
          <a:off x="7153275" y="26454735"/>
          <a:ext cx="504825" cy="108585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112395</xdr:colOff>
      <xdr:row>48</xdr:row>
      <xdr:rowOff>1095375</xdr:rowOff>
    </xdr:from>
    <xdr:to>
      <xdr:col>2</xdr:col>
      <xdr:colOff>1634490</xdr:colOff>
      <xdr:row>48</xdr:row>
      <xdr:rowOff>1704975</xdr:rowOff>
    </xdr:to>
    <xdr:pic>
      <xdr:nvPicPr>
        <xdr:cNvPr id="101" name="图片 13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93770" y="54663975"/>
          <a:ext cx="1522095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487045</xdr:colOff>
      <xdr:row>48</xdr:row>
      <xdr:rowOff>337185</xdr:rowOff>
    </xdr:from>
    <xdr:to>
      <xdr:col>2</xdr:col>
      <xdr:colOff>1369060</xdr:colOff>
      <xdr:row>48</xdr:row>
      <xdr:rowOff>902335</xdr:rowOff>
    </xdr:to>
    <xdr:pic>
      <xdr:nvPicPr>
        <xdr:cNvPr id="103" name="图片 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868420" y="53905785"/>
          <a:ext cx="882015" cy="565150"/>
        </a:xfrm>
        <a:prstGeom prst="rect">
          <a:avLst/>
        </a:prstGeom>
      </xdr:spPr>
    </xdr:pic>
    <xdr:clientData/>
  </xdr:twoCellAnchor>
  <xdr:twoCellAnchor editAs="oneCell">
    <xdr:from>
      <xdr:col>2</xdr:col>
      <xdr:colOff>253365</xdr:colOff>
      <xdr:row>101</xdr:row>
      <xdr:rowOff>920750</xdr:rowOff>
    </xdr:from>
    <xdr:to>
      <xdr:col>3</xdr:col>
      <xdr:colOff>0</xdr:colOff>
      <xdr:row>101</xdr:row>
      <xdr:rowOff>1847215</xdr:rowOff>
    </xdr:to>
    <xdr:pic>
      <xdr:nvPicPr>
        <xdr:cNvPr id="120" name="图片 13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634740" y="117568980"/>
          <a:ext cx="1670685" cy="926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583565</xdr:colOff>
      <xdr:row>101</xdr:row>
      <xdr:rowOff>167640</xdr:rowOff>
    </xdr:from>
    <xdr:to>
      <xdr:col>2</xdr:col>
      <xdr:colOff>1465580</xdr:colOff>
      <xdr:row>101</xdr:row>
      <xdr:rowOff>732790</xdr:rowOff>
    </xdr:to>
    <xdr:pic>
      <xdr:nvPicPr>
        <xdr:cNvPr id="122" name="图片 12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964940" y="116815870"/>
          <a:ext cx="882015" cy="565150"/>
        </a:xfrm>
        <a:prstGeom prst="rect">
          <a:avLst/>
        </a:prstGeom>
      </xdr:spPr>
    </xdr:pic>
    <xdr:clientData/>
  </xdr:twoCellAnchor>
  <xdr:twoCellAnchor editAs="oneCell">
    <xdr:from>
      <xdr:col>2</xdr:col>
      <xdr:colOff>591820</xdr:colOff>
      <xdr:row>219</xdr:row>
      <xdr:rowOff>90805</xdr:rowOff>
    </xdr:from>
    <xdr:to>
      <xdr:col>2</xdr:col>
      <xdr:colOff>1368425</xdr:colOff>
      <xdr:row>219</xdr:row>
      <xdr:rowOff>828675</xdr:rowOff>
    </xdr:to>
    <xdr:pic>
      <xdr:nvPicPr>
        <xdr:cNvPr id="274" name="图片 27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973195" y="257889375"/>
          <a:ext cx="776605" cy="7378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332105</xdr:colOff>
      <xdr:row>143</xdr:row>
      <xdr:rowOff>120015</xdr:rowOff>
    </xdr:from>
    <xdr:to>
      <xdr:col>0</xdr:col>
      <xdr:colOff>2310765</xdr:colOff>
      <xdr:row>145</xdr:row>
      <xdr:rowOff>1209675</xdr:rowOff>
    </xdr:to>
    <xdr:pic>
      <xdr:nvPicPr>
        <xdr:cNvPr id="424" name="ID_BC8A9C86991C44DE81B8A79747066AA3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32105" y="165072060"/>
          <a:ext cx="1978660" cy="3362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273685</xdr:colOff>
      <xdr:row>123</xdr:row>
      <xdr:rowOff>131445</xdr:rowOff>
    </xdr:from>
    <xdr:to>
      <xdr:col>1</xdr:col>
      <xdr:colOff>0</xdr:colOff>
      <xdr:row>124</xdr:row>
      <xdr:rowOff>689610</xdr:rowOff>
    </xdr:to>
    <xdr:pic>
      <xdr:nvPicPr>
        <xdr:cNvPr id="404" name="ID_59532087058A47D5A1CD96148F6D1743" descr="7c989bc39140a3846deee4003b62a1dc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73685" y="142751175"/>
          <a:ext cx="2469515" cy="1218565"/>
        </a:xfrm>
        <a:prstGeom prst="rect">
          <a:avLst/>
        </a:prstGeom>
      </xdr:spPr>
    </xdr:pic>
    <xdr:clientData/>
  </xdr:twoCellAnchor>
  <xdr:twoCellAnchor editAs="oneCell">
    <xdr:from>
      <xdr:col>0</xdr:col>
      <xdr:colOff>167005</xdr:colOff>
      <xdr:row>219</xdr:row>
      <xdr:rowOff>0</xdr:rowOff>
    </xdr:from>
    <xdr:to>
      <xdr:col>1</xdr:col>
      <xdr:colOff>0</xdr:colOff>
      <xdr:row>220</xdr:row>
      <xdr:rowOff>197485</xdr:rowOff>
    </xdr:to>
    <xdr:pic>
      <xdr:nvPicPr>
        <xdr:cNvPr id="407" name="ID_B9FE3D4C48714EB6B24B8DE3FD662E0C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7005" y="257798570"/>
          <a:ext cx="2576195" cy="1753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220345</xdr:colOff>
      <xdr:row>222</xdr:row>
      <xdr:rowOff>829310</xdr:rowOff>
    </xdr:from>
    <xdr:to>
      <xdr:col>1</xdr:col>
      <xdr:colOff>0</xdr:colOff>
      <xdr:row>223</xdr:row>
      <xdr:rowOff>1612265</xdr:rowOff>
    </xdr:to>
    <xdr:pic>
      <xdr:nvPicPr>
        <xdr:cNvPr id="406" name="ID_39477E1CF1D34C76AC1A8CEA54E8EDB3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220345" y="261406005"/>
          <a:ext cx="2522855" cy="2218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62865</xdr:colOff>
      <xdr:row>227</xdr:row>
      <xdr:rowOff>674370</xdr:rowOff>
    </xdr:from>
    <xdr:to>
      <xdr:col>1</xdr:col>
      <xdr:colOff>0</xdr:colOff>
      <xdr:row>229</xdr:row>
      <xdr:rowOff>1237615</xdr:rowOff>
    </xdr:to>
    <xdr:pic>
      <xdr:nvPicPr>
        <xdr:cNvPr id="405" name="ID_85AB51357A4C4ADB93DF33BBF33F513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865" y="268232890"/>
          <a:ext cx="2680335" cy="327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5"/>
  <sheetViews>
    <sheetView tabSelected="1" zoomScale="70" zoomScaleNormal="70" topLeftCell="A230" workbookViewId="0">
      <selection activeCell="A1" sqref="A1:H235"/>
    </sheetView>
  </sheetViews>
  <sheetFormatPr defaultColWidth="7.88333333333333" defaultRowHeight="13.5" outlineLevelCol="7"/>
  <cols>
    <col min="1" max="1" width="36" style="1" customWidth="1"/>
    <col min="2" max="2" width="8.375" style="4" customWidth="1"/>
    <col min="3" max="3" width="25.25" style="4" customWidth="1"/>
    <col min="4" max="4" width="9.375" style="4" customWidth="1"/>
    <col min="5" max="5" width="14.875" style="4" customWidth="1"/>
    <col min="6" max="6" width="6.625" style="5" customWidth="1"/>
    <col min="7" max="7" width="5.875" style="5" customWidth="1"/>
    <col min="8" max="8" width="65.9" style="6" customWidth="1"/>
    <col min="9" max="860" width="7.88333333333333" style="1"/>
    <col min="861" max="862" width="8.38333333333333" style="1"/>
    <col min="863" max="16384" width="7.88333333333333" style="1"/>
  </cols>
  <sheetData>
    <row r="1" ht="22.5" spans="1:8">
      <c r="A1" s="7"/>
      <c r="B1" s="8" t="s">
        <v>0</v>
      </c>
      <c r="C1" s="8"/>
      <c r="D1" s="8"/>
      <c r="E1" s="8"/>
      <c r="F1" s="8"/>
      <c r="G1" s="8"/>
      <c r="H1" s="8"/>
    </row>
    <row r="2" ht="14.25" spans="1:8">
      <c r="A2" s="9"/>
      <c r="B2" s="10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2" t="s">
        <v>6</v>
      </c>
      <c r="H2" s="11" t="s">
        <v>7</v>
      </c>
    </row>
    <row r="3" ht="14.25" spans="1:8">
      <c r="A3" s="9"/>
      <c r="B3" s="13" t="s">
        <v>8</v>
      </c>
      <c r="C3" s="13"/>
      <c r="D3" s="13"/>
      <c r="E3" s="13"/>
      <c r="F3" s="13"/>
      <c r="G3" s="13"/>
      <c r="H3" s="14"/>
    </row>
    <row r="4" ht="109.75" spans="1:8">
      <c r="A4" s="9" t="str">
        <f>_xlfn.DISPIMG("ID_0B72D4CE3D6F4CB29B5C216E3EC6F2DF",1)</f>
        <v>=DISPIMG("ID_0B72D4CE3D6F4CB29B5C216E3EC6F2DF",1)</v>
      </c>
      <c r="B4" s="10">
        <v>1</v>
      </c>
      <c r="C4" s="11" t="str">
        <f>_xlfn.DISPIMG("ID_31C299ACDC7840C593BA18EFAD4BB694",1)</f>
        <v>=DISPIMG("ID_31C299ACDC7840C593BA18EFAD4BB694",1)</v>
      </c>
      <c r="D4" s="11" t="s">
        <v>9</v>
      </c>
      <c r="E4" s="11" t="s">
        <v>10</v>
      </c>
      <c r="F4" s="12">
        <v>2</v>
      </c>
      <c r="G4" s="12" t="s">
        <v>11</v>
      </c>
      <c r="H4" s="15" t="s">
        <v>12</v>
      </c>
    </row>
    <row r="5" ht="71.25" spans="1:8">
      <c r="A5" s="9"/>
      <c r="B5" s="10">
        <v>2</v>
      </c>
      <c r="C5" s="11"/>
      <c r="D5" s="11" t="s">
        <v>13</v>
      </c>
      <c r="E5" s="11" t="s">
        <v>14</v>
      </c>
      <c r="F5" s="12">
        <v>1</v>
      </c>
      <c r="G5" s="12" t="s">
        <v>11</v>
      </c>
      <c r="H5" s="15" t="s">
        <v>15</v>
      </c>
    </row>
    <row r="6" ht="71.25" spans="1:8">
      <c r="A6" s="9"/>
      <c r="B6" s="10">
        <v>3</v>
      </c>
      <c r="C6" s="11" t="str">
        <f>_xlfn.DISPIMG("ID_E928273003804FE198A657B4AFF6F0E9",1)</f>
        <v>=DISPIMG("ID_E928273003804FE198A657B4AFF6F0E9",1)</v>
      </c>
      <c r="D6" s="11" t="s">
        <v>16</v>
      </c>
      <c r="E6" s="11" t="s">
        <v>17</v>
      </c>
      <c r="F6" s="12">
        <v>2</v>
      </c>
      <c r="G6" s="12" t="s">
        <v>11</v>
      </c>
      <c r="H6" s="15" t="s">
        <v>18</v>
      </c>
    </row>
    <row r="7" ht="71.25" spans="1:8">
      <c r="A7" s="9"/>
      <c r="B7" s="10">
        <v>6</v>
      </c>
      <c r="C7" s="11" t="str">
        <f>_xlfn.DISPIMG("ID_4E8BCA7C0D3B4689AB1BB0AD16C54788",1)</f>
        <v>=DISPIMG("ID_4E8BCA7C0D3B4689AB1BB0AD16C54788",1)</v>
      </c>
      <c r="D7" s="11" t="s">
        <v>19</v>
      </c>
      <c r="E7" s="11" t="s">
        <v>20</v>
      </c>
      <c r="F7" s="12">
        <v>1</v>
      </c>
      <c r="G7" s="12" t="s">
        <v>11</v>
      </c>
      <c r="H7" s="16" t="s">
        <v>21</v>
      </c>
    </row>
    <row r="8" ht="99.75" spans="1:8">
      <c r="A8" s="9"/>
      <c r="B8" s="10">
        <v>7</v>
      </c>
      <c r="C8" s="11" t="str">
        <f>_xlfn.DISPIMG("ID_E6C4995A21A54F0C9FE53CA991252066",1)</f>
        <v>=DISPIMG("ID_E6C4995A21A54F0C9FE53CA991252066",1)</v>
      </c>
      <c r="D8" s="11" t="s">
        <v>22</v>
      </c>
      <c r="E8" s="11" t="s">
        <v>23</v>
      </c>
      <c r="F8" s="12">
        <v>2</v>
      </c>
      <c r="G8" s="12" t="s">
        <v>24</v>
      </c>
      <c r="H8" s="17" t="s">
        <v>25</v>
      </c>
    </row>
    <row r="9" ht="14.25" spans="1:8">
      <c r="A9" s="9"/>
      <c r="B9" s="18" t="s">
        <v>26</v>
      </c>
      <c r="C9" s="18"/>
      <c r="D9" s="18"/>
      <c r="E9" s="18"/>
      <c r="F9" s="18"/>
      <c r="G9" s="18"/>
      <c r="H9" s="19"/>
    </row>
    <row r="10" ht="71.25" spans="1:8">
      <c r="A10" s="9"/>
      <c r="B10" s="10">
        <v>1</v>
      </c>
      <c r="C10" s="11" t="str">
        <f>_xlfn.DISPIMG("ID_42CD8C89D69345B297B1B8529B68988C",1)</f>
        <v>=DISPIMG("ID_42CD8C89D69345B297B1B8529B68988C",1)</v>
      </c>
      <c r="D10" s="11" t="s">
        <v>27</v>
      </c>
      <c r="E10" s="11" t="s">
        <v>28</v>
      </c>
      <c r="F10" s="12">
        <v>11</v>
      </c>
      <c r="G10" s="12" t="s">
        <v>29</v>
      </c>
      <c r="H10" s="16" t="s">
        <v>30</v>
      </c>
    </row>
    <row r="11" ht="99.75" spans="1:8">
      <c r="A11" s="9"/>
      <c r="B11" s="10">
        <v>2</v>
      </c>
      <c r="C11" s="11" t="str">
        <f>_xlfn.DISPIMG("ID_B4C83B19D36E46D5B1AA865482B78B06",1)</f>
        <v>=DISPIMG("ID_B4C83B19D36E46D5B1AA865482B78B06",1)</v>
      </c>
      <c r="D11" s="11" t="s">
        <v>31</v>
      </c>
      <c r="E11" s="11" t="s">
        <v>23</v>
      </c>
      <c r="F11" s="12">
        <v>11</v>
      </c>
      <c r="G11" s="12" t="s">
        <v>24</v>
      </c>
      <c r="H11" s="17" t="s">
        <v>25</v>
      </c>
    </row>
    <row r="12" ht="85.5" spans="1:8">
      <c r="A12" s="9"/>
      <c r="B12" s="10">
        <v>3</v>
      </c>
      <c r="C12" s="11" t="str">
        <f>_xlfn.DISPIMG("ID_F78E31973E7640C5A2222125E78D2AD5",1)</f>
        <v>=DISPIMG("ID_F78E31973E7640C5A2222125E78D2AD5",1)</v>
      </c>
      <c r="D12" s="11" t="s">
        <v>32</v>
      </c>
      <c r="E12" s="11" t="s">
        <v>33</v>
      </c>
      <c r="F12" s="12">
        <v>11</v>
      </c>
      <c r="G12" s="12" t="s">
        <v>34</v>
      </c>
      <c r="H12" s="20" t="s">
        <v>35</v>
      </c>
    </row>
    <row r="13" ht="114" spans="1:8">
      <c r="A13" s="9"/>
      <c r="B13" s="10">
        <v>4</v>
      </c>
      <c r="C13" s="11" t="str">
        <f>_xlfn.DISPIMG("ID_4A62D7D0A6A14E3A8AC5EC5297A73C65",1)</f>
        <v>=DISPIMG("ID_4A62D7D0A6A14E3A8AC5EC5297A73C65",1)</v>
      </c>
      <c r="D13" s="11" t="s">
        <v>36</v>
      </c>
      <c r="E13" s="11" t="s">
        <v>37</v>
      </c>
      <c r="F13" s="12">
        <v>1</v>
      </c>
      <c r="G13" s="12" t="s">
        <v>34</v>
      </c>
      <c r="H13" s="21" t="s">
        <v>38</v>
      </c>
    </row>
    <row r="14" ht="14.25" spans="1:8">
      <c r="A14" s="9"/>
      <c r="B14" s="13" t="s">
        <v>39</v>
      </c>
      <c r="C14" s="13"/>
      <c r="D14" s="13"/>
      <c r="E14" s="13"/>
      <c r="F14" s="13"/>
      <c r="G14" s="13"/>
      <c r="H14" s="14"/>
    </row>
    <row r="15" ht="163.75" spans="1:8">
      <c r="A15" s="9" t="str">
        <f>_xlfn.DISPIMG("ID_45DC663665B640E088401F418E66A42D",1)</f>
        <v>=DISPIMG("ID_45DC663665B640E088401F418E66A42D",1)</v>
      </c>
      <c r="B15" s="10">
        <v>1</v>
      </c>
      <c r="C15" s="11" t="str">
        <f>_xlfn.DISPIMG("ID_1F0DDA35B46A4CFDBF631481F6B654BD",1)</f>
        <v>=DISPIMG("ID_1F0DDA35B46A4CFDBF631481F6B654BD",1)</v>
      </c>
      <c r="D15" s="11" t="s">
        <v>27</v>
      </c>
      <c r="E15" s="11" t="s">
        <v>28</v>
      </c>
      <c r="F15" s="12">
        <v>6</v>
      </c>
      <c r="G15" s="12" t="s">
        <v>29</v>
      </c>
      <c r="H15" s="16" t="s">
        <v>30</v>
      </c>
    </row>
    <row r="16" ht="99.75" spans="1:8">
      <c r="A16" s="9"/>
      <c r="B16" s="10">
        <v>2</v>
      </c>
      <c r="C16" s="11" t="str">
        <f>_xlfn.DISPIMG("ID_29F18EA62D4E41F6BE83791E8AEC6FD2",1)</f>
        <v>=DISPIMG("ID_29F18EA62D4E41F6BE83791E8AEC6FD2",1)</v>
      </c>
      <c r="D16" s="11" t="s">
        <v>31</v>
      </c>
      <c r="E16" s="11" t="s">
        <v>23</v>
      </c>
      <c r="F16" s="12">
        <v>6</v>
      </c>
      <c r="G16" s="12" t="s">
        <v>24</v>
      </c>
      <c r="H16" s="17" t="s">
        <v>25</v>
      </c>
    </row>
    <row r="17" ht="85.5" spans="1:8">
      <c r="A17" s="9"/>
      <c r="B17" s="10">
        <v>3</v>
      </c>
      <c r="C17" s="11" t="str">
        <f>_xlfn.DISPIMG("ID_AA765995C2A74190977F98B5E4F689A7",1)</f>
        <v>=DISPIMG("ID_AA765995C2A74190977F98B5E4F689A7",1)</v>
      </c>
      <c r="D17" s="11" t="s">
        <v>40</v>
      </c>
      <c r="E17" s="11" t="s">
        <v>33</v>
      </c>
      <c r="F17" s="12">
        <v>3</v>
      </c>
      <c r="G17" s="12" t="s">
        <v>34</v>
      </c>
      <c r="H17" s="20" t="s">
        <v>35</v>
      </c>
    </row>
    <row r="18" ht="114" spans="1:8">
      <c r="A18" s="9"/>
      <c r="B18" s="10">
        <v>6</v>
      </c>
      <c r="C18" s="11" t="str">
        <f>_xlfn.DISPIMG("ID_37E8631597EC4BDB8EBD1D9CBDB811B3",1)</f>
        <v>=DISPIMG("ID_37E8631597EC4BDB8EBD1D9CBDB811B3",1)</v>
      </c>
      <c r="D18" s="11" t="s">
        <v>36</v>
      </c>
      <c r="E18" s="11" t="s">
        <v>37</v>
      </c>
      <c r="F18" s="12">
        <v>1</v>
      </c>
      <c r="G18" s="12" t="s">
        <v>34</v>
      </c>
      <c r="H18" s="21" t="s">
        <v>38</v>
      </c>
    </row>
    <row r="19" ht="14.25" spans="1:8">
      <c r="A19" s="9"/>
      <c r="B19" s="18" t="s">
        <v>41</v>
      </c>
      <c r="C19" s="18"/>
      <c r="D19" s="18"/>
      <c r="E19" s="18"/>
      <c r="F19" s="18"/>
      <c r="G19" s="18"/>
      <c r="H19" s="19"/>
    </row>
    <row r="20" ht="117.05" spans="1:8">
      <c r="A20" s="9" t="str">
        <f>_xlfn.DISPIMG("ID_E6A2CF69DC0F4350B01B7B8D139BA131",1)</f>
        <v>=DISPIMG("ID_E6A2CF69DC0F4350B01B7B8D139BA131",1)</v>
      </c>
      <c r="B20" s="10">
        <v>1</v>
      </c>
      <c r="C20" s="11" t="str">
        <f>_xlfn.DISPIMG("ID_0E1FB66D495149F280DB942CD9A80EC9",1)</f>
        <v>=DISPIMG("ID_0E1FB66D495149F280DB942CD9A80EC9",1)</v>
      </c>
      <c r="D20" s="11" t="s">
        <v>42</v>
      </c>
      <c r="E20" s="22" t="s">
        <v>43</v>
      </c>
      <c r="F20" s="23">
        <v>15</v>
      </c>
      <c r="G20" s="12" t="s">
        <v>34</v>
      </c>
      <c r="H20" s="21" t="s">
        <v>44</v>
      </c>
    </row>
    <row r="21" ht="14.25" spans="1:8">
      <c r="A21" s="9"/>
      <c r="B21" s="18" t="s">
        <v>45</v>
      </c>
      <c r="C21" s="18"/>
      <c r="D21" s="18"/>
      <c r="E21" s="18"/>
      <c r="F21" s="18"/>
      <c r="G21" s="18"/>
      <c r="H21" s="19"/>
    </row>
    <row r="22" ht="114" spans="1:8">
      <c r="A22" s="9" t="str">
        <f>_xlfn.DISPIMG("ID_81487052A28B4F788BA69538D63B0777",1)</f>
        <v>=DISPIMG("ID_81487052A28B4F788BA69538D63B0777",1)</v>
      </c>
      <c r="B22" s="10">
        <v>1</v>
      </c>
      <c r="C22" s="24" t="str">
        <f>_xlfn.DISPIMG("ID_154DA71029B64BD39C131E61F1E2798A",1)</f>
        <v>=DISPIMG("ID_154DA71029B64BD39C131E61F1E2798A",1)</v>
      </c>
      <c r="D22" s="25" t="s">
        <v>46</v>
      </c>
      <c r="E22" s="22" t="s">
        <v>47</v>
      </c>
      <c r="F22" s="26">
        <v>1</v>
      </c>
      <c r="G22" s="27" t="s">
        <v>48</v>
      </c>
      <c r="H22" s="21" t="s">
        <v>49</v>
      </c>
    </row>
    <row r="23" s="1" customFormat="1" ht="124" spans="1:8">
      <c r="A23" s="9"/>
      <c r="B23" s="10">
        <v>2</v>
      </c>
      <c r="C23" s="24" t="str">
        <f>_xlfn.DISPIMG("ID_B22DF3FAEE224ECD9F23E14891CF1794",1)</f>
        <v>=DISPIMG("ID_B22DF3FAEE224ECD9F23E14891CF1794",1)</v>
      </c>
      <c r="D23" s="22" t="s">
        <v>50</v>
      </c>
      <c r="E23" s="22" t="s">
        <v>51</v>
      </c>
      <c r="F23" s="26">
        <v>14</v>
      </c>
      <c r="G23" s="27" t="s">
        <v>48</v>
      </c>
      <c r="H23" s="15" t="s">
        <v>52</v>
      </c>
    </row>
    <row r="24" ht="159" spans="1:8">
      <c r="A24" s="9"/>
      <c r="B24" s="10">
        <v>3</v>
      </c>
      <c r="C24" s="24" t="str">
        <f>_xlfn.DISPIMG("ID_F8230D6D6F6B4975AEF22DEFBC5E6128",1)</f>
        <v>=DISPIMG("ID_F8230D6D6F6B4975AEF22DEFBC5E6128",1)</v>
      </c>
      <c r="D24" s="22" t="s">
        <v>53</v>
      </c>
      <c r="E24" s="24" t="s">
        <v>54</v>
      </c>
      <c r="F24" s="12">
        <v>2</v>
      </c>
      <c r="G24" s="12" t="s">
        <v>34</v>
      </c>
      <c r="H24" s="21" t="s">
        <v>55</v>
      </c>
    </row>
    <row r="25" ht="14.25" spans="1:8">
      <c r="A25" s="9"/>
      <c r="B25" s="18" t="s">
        <v>56</v>
      </c>
      <c r="C25" s="18"/>
      <c r="D25" s="18"/>
      <c r="E25" s="18"/>
      <c r="F25" s="18"/>
      <c r="G25" s="18"/>
      <c r="H25" s="19"/>
    </row>
    <row r="26" ht="118.75" spans="1:8">
      <c r="A26" s="9" t="str">
        <f>_xlfn.DISPIMG("ID_EC722BAD1B4F42E195B6B18B2C3B81B7",1)</f>
        <v>=DISPIMG("ID_EC722BAD1B4F42E195B6B18B2C3B81B7",1)</v>
      </c>
      <c r="B26" s="28"/>
      <c r="C26" s="11" t="str">
        <f>_xlfn.DISPIMG("ID_5214BB5BC1CD4AA89D8BC0D305C07F9A",1)</f>
        <v>=DISPIMG("ID_5214BB5BC1CD4AA89D8BC0D305C07F9A",1)</v>
      </c>
      <c r="D26" s="11" t="s">
        <v>31</v>
      </c>
      <c r="E26" s="11" t="s">
        <v>23</v>
      </c>
      <c r="F26" s="12">
        <v>2</v>
      </c>
      <c r="G26" s="12" t="s">
        <v>24</v>
      </c>
      <c r="H26" s="17" t="s">
        <v>25</v>
      </c>
    </row>
    <row r="27" ht="71.25" spans="1:8">
      <c r="A27" s="9"/>
      <c r="B27" s="10"/>
      <c r="C27" s="11" t="str">
        <f>_xlfn.DISPIMG("ID_5FD6755F2BEF480385929A8297EEF5E9",1)</f>
        <v>=DISPIMG("ID_5FD6755F2BEF480385929A8297EEF5E9",1)</v>
      </c>
      <c r="D27" s="24" t="s">
        <v>57</v>
      </c>
      <c r="E27" s="11" t="s">
        <v>58</v>
      </c>
      <c r="F27" s="26">
        <v>6</v>
      </c>
      <c r="G27" s="27" t="s">
        <v>48</v>
      </c>
      <c r="H27" s="16" t="s">
        <v>59</v>
      </c>
    </row>
    <row r="28" ht="85.5" spans="1:8">
      <c r="A28" s="9"/>
      <c r="B28" s="10"/>
      <c r="C28" s="11" t="str">
        <f>_xlfn.DISPIMG("ID_F4308B44C5D948068450F93FA7840504",1)</f>
        <v>=DISPIMG("ID_F4308B44C5D948068450F93FA7840504",1)</v>
      </c>
      <c r="D28" s="24" t="s">
        <v>60</v>
      </c>
      <c r="E28" s="22" t="s">
        <v>61</v>
      </c>
      <c r="F28" s="29">
        <v>36</v>
      </c>
      <c r="G28" s="22" t="s">
        <v>48</v>
      </c>
      <c r="H28" s="15" t="s">
        <v>62</v>
      </c>
    </row>
    <row r="29" s="1" customFormat="1" ht="71.25" spans="1:8">
      <c r="A29" s="9"/>
      <c r="B29" s="10"/>
      <c r="C29" s="22" t="str">
        <f>_xlfn.DISPIMG("ID_8B687CE3A2454E2284555465CF1F6939",1)</f>
        <v>=DISPIMG("ID_8B687CE3A2454E2284555465CF1F6939",1)</v>
      </c>
      <c r="D29" s="24" t="s">
        <v>63</v>
      </c>
      <c r="E29" s="11" t="s">
        <v>64</v>
      </c>
      <c r="F29" s="26">
        <v>2</v>
      </c>
      <c r="G29" s="27" t="s">
        <v>65</v>
      </c>
      <c r="H29" s="15" t="s">
        <v>66</v>
      </c>
    </row>
    <row r="30" s="1" customFormat="1" ht="14.25" spans="1:8">
      <c r="A30" s="9"/>
      <c r="B30" s="18" t="s">
        <v>67</v>
      </c>
      <c r="C30" s="18"/>
      <c r="D30" s="18"/>
      <c r="E30" s="18"/>
      <c r="F30" s="18"/>
      <c r="G30" s="18"/>
      <c r="H30" s="19"/>
    </row>
    <row r="31" s="1" customFormat="1" ht="270.75" spans="1:8">
      <c r="A31" s="9" t="str">
        <f>_xlfn.DISPIMG("ID_38F17BD3A62F46CBAF02E1E1447A0C84",1)</f>
        <v>=DISPIMG("ID_38F17BD3A62F46CBAF02E1E1447A0C84",1)</v>
      </c>
      <c r="B31" s="10">
        <v>1</v>
      </c>
      <c r="C31" s="30" t="str">
        <f>_xlfn.DISPIMG("ID_90314DE9E1A04E7EA20B7A78023B44F1",1)</f>
        <v>=DISPIMG("ID_90314DE9E1A04E7EA20B7A78023B44F1",1)</v>
      </c>
      <c r="D31" s="11" t="s">
        <v>68</v>
      </c>
      <c r="E31" s="22" t="s">
        <v>69</v>
      </c>
      <c r="F31" s="26">
        <v>711</v>
      </c>
      <c r="G31" s="26" t="s">
        <v>70</v>
      </c>
      <c r="H31" s="15" t="s">
        <v>71</v>
      </c>
    </row>
    <row r="32" ht="71.25" spans="1:8">
      <c r="A32" s="9"/>
      <c r="B32" s="10">
        <v>2</v>
      </c>
      <c r="C32" s="11" t="str">
        <f>_xlfn.DISPIMG("ID_7FDFCF670E324FDC8503F56E19F0B336",1)</f>
        <v>=DISPIMG("ID_7FDFCF670E324FDC8503F56E19F0B336",1)</v>
      </c>
      <c r="D32" s="11" t="s">
        <v>72</v>
      </c>
      <c r="E32" s="11" t="s">
        <v>73</v>
      </c>
      <c r="F32" s="12">
        <v>1</v>
      </c>
      <c r="G32" s="12" t="s">
        <v>48</v>
      </c>
      <c r="H32" s="16" t="s">
        <v>30</v>
      </c>
    </row>
    <row r="33" ht="99.75" spans="1:8">
      <c r="A33" s="9"/>
      <c r="B33" s="10">
        <v>3</v>
      </c>
      <c r="C33" s="11" t="str">
        <f>_xlfn.DISPIMG("ID_E4D84C8BB6BB4A458C13A8355B2F7ED8",1)</f>
        <v>=DISPIMG("ID_E4D84C8BB6BB4A458C13A8355B2F7ED8",1)</v>
      </c>
      <c r="D33" s="11" t="s">
        <v>31</v>
      </c>
      <c r="E33" s="11" t="s">
        <v>23</v>
      </c>
      <c r="F33" s="12">
        <v>1</v>
      </c>
      <c r="G33" s="12" t="s">
        <v>24</v>
      </c>
      <c r="H33" s="17" t="s">
        <v>25</v>
      </c>
    </row>
    <row r="34" ht="14.25" spans="1:8">
      <c r="A34" s="9"/>
      <c r="B34" s="18" t="s">
        <v>74</v>
      </c>
      <c r="C34" s="18"/>
      <c r="D34" s="18"/>
      <c r="E34" s="18"/>
      <c r="F34" s="18"/>
      <c r="G34" s="18"/>
      <c r="H34" s="19"/>
    </row>
    <row r="35" ht="142.45" spans="1:8">
      <c r="A35" s="9" t="str">
        <f>_xlfn.DISPIMG("ID_1595475D7B09488AAD17948B9EE4BEF2",1)</f>
        <v>=DISPIMG("ID_1595475D7B09488AAD17948B9EE4BEF2",1)</v>
      </c>
      <c r="B35" s="10">
        <v>1</v>
      </c>
      <c r="C35" s="24" t="str">
        <f>_xlfn.DISPIMG("ID_AEFDE60012BB47E5B9D2EE287866EADC",1)</f>
        <v>=DISPIMG("ID_AEFDE60012BB47E5B9D2EE287866EADC",1)</v>
      </c>
      <c r="D35" s="24" t="s">
        <v>75</v>
      </c>
      <c r="E35" s="11" t="s">
        <v>76</v>
      </c>
      <c r="F35" s="12">
        <v>4</v>
      </c>
      <c r="G35" s="12" t="s">
        <v>48</v>
      </c>
      <c r="H35" s="21" t="s">
        <v>77</v>
      </c>
    </row>
    <row r="36" ht="156.75" spans="1:8">
      <c r="A36" s="9"/>
      <c r="B36" s="10">
        <v>2</v>
      </c>
      <c r="C36" s="24" t="str">
        <f>_xlfn.DISPIMG("ID_AFE34C354E004E68AD4F9CB05C03E113",1)</f>
        <v>=DISPIMG("ID_AFE34C354E004E68AD4F9CB05C03E113",1)</v>
      </c>
      <c r="D36" s="24" t="s">
        <v>78</v>
      </c>
      <c r="E36" s="11" t="s">
        <v>23</v>
      </c>
      <c r="F36" s="12">
        <v>4</v>
      </c>
      <c r="G36" s="12" t="s">
        <v>48</v>
      </c>
      <c r="H36" s="31" t="s">
        <v>79</v>
      </c>
    </row>
    <row r="37" ht="114" spans="1:8">
      <c r="A37" s="9"/>
      <c r="B37" s="10">
        <v>3</v>
      </c>
      <c r="C37" s="11" t="str">
        <f>_xlfn.DISPIMG("ID_FDA854CCC1594896A8D29AA6140AFC3E",1)</f>
        <v>=DISPIMG("ID_FDA854CCC1594896A8D29AA6140AFC3E",1)</v>
      </c>
      <c r="D37" s="11" t="s">
        <v>80</v>
      </c>
      <c r="E37" s="11" t="s">
        <v>81</v>
      </c>
      <c r="F37" s="12">
        <v>2</v>
      </c>
      <c r="G37" s="12" t="s">
        <v>34</v>
      </c>
      <c r="H37" s="21" t="s">
        <v>55</v>
      </c>
    </row>
    <row r="38" ht="114" spans="1:8">
      <c r="A38" s="9"/>
      <c r="B38" s="10">
        <v>4</v>
      </c>
      <c r="C38" s="11" t="str">
        <f>_xlfn.DISPIMG("ID_B49E210127554DBC8F684A14B42D67CB",1)</f>
        <v>=DISPIMG("ID_B49E210127554DBC8F684A14B42D67CB",1)</v>
      </c>
      <c r="D38" s="11" t="s">
        <v>36</v>
      </c>
      <c r="E38" s="11" t="s">
        <v>37</v>
      </c>
      <c r="F38" s="12">
        <v>2</v>
      </c>
      <c r="G38" s="12" t="s">
        <v>34</v>
      </c>
      <c r="H38" s="21" t="s">
        <v>38</v>
      </c>
    </row>
    <row r="39" ht="14.25" spans="1:8">
      <c r="A39" s="9"/>
      <c r="B39" s="18" t="s">
        <v>82</v>
      </c>
      <c r="C39" s="18"/>
      <c r="D39" s="18"/>
      <c r="E39" s="18"/>
      <c r="F39" s="18"/>
      <c r="G39" s="18"/>
      <c r="H39" s="19"/>
    </row>
    <row r="40" ht="108" spans="1:8">
      <c r="A40" s="9" t="str">
        <f>_xlfn.DISPIMG("ID_B43DB3CF67CE40A292D6C8A8C5CBE6E2",1)</f>
        <v>=DISPIMG("ID_B43DB3CF67CE40A292D6C8A8C5CBE6E2",1)</v>
      </c>
      <c r="B40" s="10">
        <v>1</v>
      </c>
      <c r="C40" s="11" t="str">
        <f>_xlfn.DISPIMG("ID_FDA1DCF691C14813B9CD394A5871009F",1)</f>
        <v>=DISPIMG("ID_FDA1DCF691C14813B9CD394A5871009F",1)</v>
      </c>
      <c r="D40" s="11" t="s">
        <v>27</v>
      </c>
      <c r="E40" s="11" t="s">
        <v>28</v>
      </c>
      <c r="F40" s="12">
        <v>12</v>
      </c>
      <c r="G40" s="12" t="s">
        <v>29</v>
      </c>
      <c r="H40" s="16" t="s">
        <v>30</v>
      </c>
    </row>
    <row r="41" ht="99.75" spans="1:8">
      <c r="A41" s="9"/>
      <c r="B41" s="32">
        <v>2</v>
      </c>
      <c r="C41" s="11" t="str">
        <f>_xlfn.DISPIMG("ID_90E49558B3C140579B462571699A3A7A",1)</f>
        <v>=DISPIMG("ID_90E49558B3C140579B462571699A3A7A",1)</v>
      </c>
      <c r="D41" s="11" t="s">
        <v>31</v>
      </c>
      <c r="E41" s="11" t="s">
        <v>23</v>
      </c>
      <c r="F41" s="12">
        <v>12</v>
      </c>
      <c r="G41" s="12" t="s">
        <v>24</v>
      </c>
      <c r="H41" s="17" t="s">
        <v>25</v>
      </c>
    </row>
    <row r="42" ht="71.25" spans="1:8">
      <c r="A42" s="9"/>
      <c r="B42" s="32">
        <v>3</v>
      </c>
      <c r="C42" s="11" t="str">
        <f>_xlfn.DISPIMG("ID_70DD129A167B403292E31B911AEE4DDD",1)</f>
        <v>=DISPIMG("ID_70DD129A167B403292E31B911AEE4DDD",1)</v>
      </c>
      <c r="D42" s="11" t="s">
        <v>46</v>
      </c>
      <c r="E42" s="11" t="s">
        <v>83</v>
      </c>
      <c r="F42" s="12">
        <v>1</v>
      </c>
      <c r="G42" s="12" t="s">
        <v>48</v>
      </c>
      <c r="H42" s="16" t="s">
        <v>30</v>
      </c>
    </row>
    <row r="43" ht="85.5" spans="1:8">
      <c r="A43" s="9"/>
      <c r="B43" s="32">
        <v>4</v>
      </c>
      <c r="C43" s="11" t="str">
        <f>_xlfn.DISPIMG("ID_B2B6286D3F2844CFB8D80A32F16FAE38",1)</f>
        <v>=DISPIMG("ID_B2B6286D3F2844CFB8D80A32F16FAE38",1)</v>
      </c>
      <c r="D43" s="11" t="s">
        <v>32</v>
      </c>
      <c r="E43" s="11" t="s">
        <v>33</v>
      </c>
      <c r="F43" s="12">
        <v>12</v>
      </c>
      <c r="G43" s="12" t="s">
        <v>34</v>
      </c>
      <c r="H43" s="20" t="s">
        <v>35</v>
      </c>
    </row>
    <row r="44" ht="114" spans="1:8">
      <c r="A44" s="9"/>
      <c r="B44" s="32">
        <v>5</v>
      </c>
      <c r="C44" s="11" t="str">
        <f>_xlfn.DISPIMG("ID_D9F18029B33A453080A3AF3D4A279248",1)</f>
        <v>=DISPIMG("ID_D9F18029B33A453080A3AF3D4A279248",1)</v>
      </c>
      <c r="D44" s="11" t="s">
        <v>84</v>
      </c>
      <c r="E44" s="11" t="s">
        <v>85</v>
      </c>
      <c r="F44" s="12">
        <v>2</v>
      </c>
      <c r="G44" s="12" t="s">
        <v>34</v>
      </c>
      <c r="H44" s="21" t="s">
        <v>38</v>
      </c>
    </row>
    <row r="45" ht="14.25" spans="1:8">
      <c r="A45" s="9"/>
      <c r="B45" s="33" t="s">
        <v>86</v>
      </c>
      <c r="C45" s="33"/>
      <c r="D45" s="33"/>
      <c r="E45" s="33"/>
      <c r="F45" s="33"/>
      <c r="G45" s="33"/>
      <c r="H45" s="34"/>
    </row>
    <row r="46" ht="156.75" spans="1:8">
      <c r="A46" s="9" t="str">
        <f>_xlfn.DISPIMG("ID_E04CE2901DA84F1C939FA4FFF296D705",1)</f>
        <v>=DISPIMG("ID_E04CE2901DA84F1C939FA4FFF296D705",1)</v>
      </c>
      <c r="B46" s="10">
        <v>1</v>
      </c>
      <c r="C46" s="11" t="str">
        <f>_xlfn.DISPIMG("ID_C4077FE195CA4BB4817FE36556EA2B94",1)</f>
        <v>=DISPIMG("ID_C4077FE195CA4BB4817FE36556EA2B94",1)</v>
      </c>
      <c r="D46" s="11" t="s">
        <v>87</v>
      </c>
      <c r="E46" s="11" t="s">
        <v>73</v>
      </c>
      <c r="F46" s="12">
        <v>3</v>
      </c>
      <c r="G46" s="12" t="s">
        <v>48</v>
      </c>
      <c r="H46" s="35" t="s">
        <v>88</v>
      </c>
    </row>
    <row r="47" ht="88" spans="1:8">
      <c r="A47" s="9"/>
      <c r="B47" s="10">
        <v>2</v>
      </c>
      <c r="C47" s="11" t="str">
        <f>_xlfn.DISPIMG("ID_DF2E06055AA64385AB88F3F4B837E1FE",1)</f>
        <v>=DISPIMG("ID_DF2E06055AA64385AB88F3F4B837E1FE",1)</v>
      </c>
      <c r="D47" s="11" t="s">
        <v>89</v>
      </c>
      <c r="E47" s="11" t="s">
        <v>23</v>
      </c>
      <c r="F47" s="12">
        <v>6</v>
      </c>
      <c r="G47" s="12" t="s">
        <v>48</v>
      </c>
      <c r="H47" s="31" t="s">
        <v>90</v>
      </c>
    </row>
    <row r="48" ht="229" spans="1:8">
      <c r="A48" s="9"/>
      <c r="B48" s="10">
        <v>3</v>
      </c>
      <c r="C48" s="11" t="str">
        <f>_xlfn.DISPIMG("ID_509523AB1760411EA2B06D2B3A3AA5E5",1)</f>
        <v>=DISPIMG("ID_509523AB1760411EA2B06D2B3A3AA5E5",1)</v>
      </c>
      <c r="D48" s="11" t="s">
        <v>91</v>
      </c>
      <c r="E48" s="11" t="s">
        <v>23</v>
      </c>
      <c r="F48" s="12">
        <v>1</v>
      </c>
      <c r="G48" s="12" t="s">
        <v>48</v>
      </c>
      <c r="H48" s="35" t="s">
        <v>92</v>
      </c>
    </row>
    <row r="49" ht="156.75" spans="1:8">
      <c r="A49" s="9"/>
      <c r="B49" s="10">
        <v>4</v>
      </c>
      <c r="C49" s="25"/>
      <c r="D49" s="25" t="s">
        <v>93</v>
      </c>
      <c r="E49" s="25" t="s">
        <v>94</v>
      </c>
      <c r="F49" s="12">
        <v>30</v>
      </c>
      <c r="G49" s="12" t="s">
        <v>48</v>
      </c>
      <c r="H49" s="35" t="s">
        <v>88</v>
      </c>
    </row>
    <row r="50" ht="88.2" spans="1:8">
      <c r="A50" s="9"/>
      <c r="B50" s="10">
        <v>5</v>
      </c>
      <c r="C50" s="25" t="str">
        <f>_xlfn.DISPIMG("ID_7541D45C8F0742ED863F62D33FDCF54E",1)</f>
        <v>=DISPIMG("ID_7541D45C8F0742ED863F62D33FDCF54E",1)</v>
      </c>
      <c r="D50" s="25" t="s">
        <v>95</v>
      </c>
      <c r="E50" s="25" t="s">
        <v>23</v>
      </c>
      <c r="F50" s="12">
        <v>60</v>
      </c>
      <c r="G50" s="12" t="s">
        <v>48</v>
      </c>
      <c r="H50" s="31" t="s">
        <v>90</v>
      </c>
    </row>
    <row r="51" ht="162" customHeight="1" spans="1:8">
      <c r="A51" s="9"/>
      <c r="B51" s="10">
        <v>6</v>
      </c>
      <c r="C51" s="11" t="str">
        <f>_xlfn.DISPIMG("ID_6457802921994C45AD6228943980883F",1)</f>
        <v>=DISPIMG("ID_6457802921994C45AD6228943980883F",1)</v>
      </c>
      <c r="D51" s="11" t="s">
        <v>36</v>
      </c>
      <c r="E51" s="25" t="s">
        <v>96</v>
      </c>
      <c r="F51" s="12">
        <v>1</v>
      </c>
      <c r="G51" s="12" t="s">
        <v>48</v>
      </c>
      <c r="H51" s="21" t="s">
        <v>97</v>
      </c>
    </row>
    <row r="52" ht="62" customHeight="1" spans="1:8">
      <c r="A52" s="36" t="str">
        <f>_xlfn.DISPIMG("ID_38EC7EEB81C9455F836457AFC00B29D7",1)</f>
        <v>=DISPIMG("ID_38EC7EEB81C9455F836457AFC00B29D7",1)</v>
      </c>
      <c r="B52" s="13" t="s">
        <v>98</v>
      </c>
      <c r="C52" s="13"/>
      <c r="D52" s="13"/>
      <c r="E52" s="13"/>
      <c r="F52" s="13"/>
      <c r="G52" s="13"/>
      <c r="H52" s="14"/>
    </row>
    <row r="53" ht="141" spans="1:8">
      <c r="A53" s="36"/>
      <c r="B53" s="10">
        <v>1</v>
      </c>
      <c r="C53" s="24" t="str">
        <f>_xlfn.DISPIMG("ID_933560DC81BB44ABBF2C9EF5B16F9019",1)</f>
        <v>=DISPIMG("ID_933560DC81BB44ABBF2C9EF5B16F9019",1)</v>
      </c>
      <c r="D53" s="24" t="s">
        <v>75</v>
      </c>
      <c r="E53" s="11" t="s">
        <v>76</v>
      </c>
      <c r="F53" s="12">
        <v>4</v>
      </c>
      <c r="G53" s="12" t="s">
        <v>48</v>
      </c>
      <c r="H53" s="21" t="s">
        <v>77</v>
      </c>
    </row>
    <row r="54" ht="177" customHeight="1" spans="1:8">
      <c r="A54" s="9" t="str">
        <f>_xlfn.DISPIMG("ID_A4ED80B61B31465EBBBC1660C2D1623A",1)</f>
        <v>=DISPIMG("ID_A4ED80B61B31465EBBBC1660C2D1623A",1)</v>
      </c>
      <c r="B54" s="10">
        <v>2</v>
      </c>
      <c r="C54" s="24" t="str">
        <f>_xlfn.DISPIMG("ID_8EDD9A908BD542C7929E7A5B6A090114",1)</f>
        <v>=DISPIMG("ID_8EDD9A908BD542C7929E7A5B6A090114",1)</v>
      </c>
      <c r="D54" s="24" t="s">
        <v>78</v>
      </c>
      <c r="E54" s="11" t="s">
        <v>23</v>
      </c>
      <c r="F54" s="12">
        <v>4</v>
      </c>
      <c r="G54" s="12" t="s">
        <v>48</v>
      </c>
      <c r="H54" s="31" t="s">
        <v>79</v>
      </c>
    </row>
    <row r="55" ht="85.5" spans="1:8">
      <c r="A55" s="9"/>
      <c r="B55" s="10">
        <v>3</v>
      </c>
      <c r="C55" s="24" t="str">
        <f>_xlfn.DISPIMG("ID_DA6CE54270D14115831C2191A15081C3",1)</f>
        <v>=DISPIMG("ID_DA6CE54270D14115831C2191A15081C3",1)</v>
      </c>
      <c r="D55" s="24" t="s">
        <v>99</v>
      </c>
      <c r="E55" s="11" t="s">
        <v>23</v>
      </c>
      <c r="F55" s="12">
        <v>8</v>
      </c>
      <c r="G55" s="12" t="s">
        <v>48</v>
      </c>
      <c r="H55" s="31" t="s">
        <v>100</v>
      </c>
    </row>
    <row r="56" ht="116" customHeight="1" spans="1:8">
      <c r="A56" s="9"/>
      <c r="B56" s="10">
        <v>5</v>
      </c>
      <c r="C56" s="11" t="str">
        <f>_xlfn.DISPIMG("ID_F42802EBD9A344AB896E9017ECD95F55",1)</f>
        <v>=DISPIMG("ID_F42802EBD9A344AB896E9017ECD95F55",1)</v>
      </c>
      <c r="D56" s="11" t="s">
        <v>40</v>
      </c>
      <c r="E56" s="11" t="s">
        <v>33</v>
      </c>
      <c r="F56" s="12">
        <v>4</v>
      </c>
      <c r="G56" s="12" t="s">
        <v>34</v>
      </c>
      <c r="H56" s="20" t="s">
        <v>35</v>
      </c>
    </row>
    <row r="57" ht="14.25" spans="1:8">
      <c r="A57" s="9"/>
      <c r="B57" s="13" t="s">
        <v>101</v>
      </c>
      <c r="C57" s="13"/>
      <c r="D57" s="13"/>
      <c r="E57" s="13"/>
      <c r="F57" s="13"/>
      <c r="G57" s="13"/>
      <c r="H57" s="14"/>
    </row>
    <row r="58" ht="99.75" spans="1:8">
      <c r="A58" s="36" t="str">
        <f>_xlfn.DISPIMG("ID_E63196F37FAD49DB83CD8C3D0130EAFA",1)</f>
        <v>=DISPIMG("ID_E63196F37FAD49DB83CD8C3D0130EAFA",1)</v>
      </c>
      <c r="B58" s="10">
        <v>1</v>
      </c>
      <c r="C58" s="11" t="str">
        <f>_xlfn.DISPIMG("ID_A204504438584708BBF55CE2B02E8A4E",1)</f>
        <v>=DISPIMG("ID_A204504438584708BBF55CE2B02E8A4E",1)</v>
      </c>
      <c r="D58" s="11" t="s">
        <v>102</v>
      </c>
      <c r="E58" s="11" t="s">
        <v>103</v>
      </c>
      <c r="F58" s="12">
        <v>1</v>
      </c>
      <c r="G58" s="12" t="s">
        <v>48</v>
      </c>
      <c r="H58" s="21" t="s">
        <v>104</v>
      </c>
    </row>
    <row r="59" ht="107" customHeight="1" spans="1:8">
      <c r="A59" s="36"/>
      <c r="B59" s="10">
        <v>2</v>
      </c>
      <c r="C59" s="11" t="str">
        <f>_xlfn.DISPIMG("ID_5174C79983DC48E0B0380848F0328822",1)</f>
        <v>=DISPIMG("ID_5174C79983DC48E0B0380848F0328822",1)</v>
      </c>
      <c r="D59" s="11" t="s">
        <v>105</v>
      </c>
      <c r="E59" s="11" t="s">
        <v>23</v>
      </c>
      <c r="F59" s="12">
        <v>1</v>
      </c>
      <c r="G59" s="12" t="s">
        <v>24</v>
      </c>
      <c r="H59" s="21" t="s">
        <v>106</v>
      </c>
    </row>
    <row r="60" ht="96" customHeight="1" spans="1:8">
      <c r="A60" s="36"/>
      <c r="B60" s="10">
        <v>3</v>
      </c>
      <c r="C60" s="11" t="str">
        <f>_xlfn.DISPIMG("ID_510CDF8FCE6142E2B1B4072DCBE966DD",1)</f>
        <v>=DISPIMG("ID_510CDF8FCE6142E2B1B4072DCBE966DD",1)</v>
      </c>
      <c r="D60" s="11" t="s">
        <v>40</v>
      </c>
      <c r="E60" s="11" t="s">
        <v>33</v>
      </c>
      <c r="F60" s="12">
        <v>3</v>
      </c>
      <c r="G60" s="12" t="s">
        <v>34</v>
      </c>
      <c r="H60" s="20" t="s">
        <v>35</v>
      </c>
    </row>
    <row r="61" ht="71.25" spans="1:8">
      <c r="A61" s="36"/>
      <c r="B61" s="10">
        <v>4</v>
      </c>
      <c r="C61" s="11" t="str">
        <f>_xlfn.DISPIMG("ID_217D7F54F088431AA75D9EF25B4A488C",1)</f>
        <v>=DISPIMG("ID_217D7F54F088431AA75D9EF25B4A488C",1)</v>
      </c>
      <c r="D61" s="11" t="s">
        <v>27</v>
      </c>
      <c r="E61" s="11" t="s">
        <v>28</v>
      </c>
      <c r="F61" s="12">
        <v>7</v>
      </c>
      <c r="G61" s="12" t="s">
        <v>48</v>
      </c>
      <c r="H61" s="16" t="s">
        <v>30</v>
      </c>
    </row>
    <row r="62" ht="114" spans="1:8">
      <c r="A62" s="9"/>
      <c r="B62" s="10">
        <v>5</v>
      </c>
      <c r="C62" s="11" t="str">
        <f>_xlfn.DISPIMG("ID_1164C83A3C194D5497DC9BED4EC72042",1)</f>
        <v>=DISPIMG("ID_1164C83A3C194D5497DC9BED4EC72042",1)</v>
      </c>
      <c r="D62" s="11" t="s">
        <v>31</v>
      </c>
      <c r="E62" s="11" t="s">
        <v>107</v>
      </c>
      <c r="F62" s="12">
        <v>7</v>
      </c>
      <c r="G62" s="12" t="s">
        <v>24</v>
      </c>
      <c r="H62" s="17" t="s">
        <v>108</v>
      </c>
    </row>
    <row r="63" ht="114" spans="1:8">
      <c r="A63" s="9"/>
      <c r="B63" s="10">
        <v>6</v>
      </c>
      <c r="C63" s="11" t="str">
        <f>_xlfn.DISPIMG("ID_DECC631996624A24ABB934080F0F216B",1)</f>
        <v>=DISPIMG("ID_DECC631996624A24ABB934080F0F216B",1)</v>
      </c>
      <c r="D63" s="11" t="s">
        <v>36</v>
      </c>
      <c r="E63" s="11" t="s">
        <v>37</v>
      </c>
      <c r="F63" s="12">
        <v>1</v>
      </c>
      <c r="G63" s="12" t="s">
        <v>34</v>
      </c>
      <c r="H63" s="21" t="s">
        <v>38</v>
      </c>
    </row>
    <row r="64" ht="14.25" spans="1:8">
      <c r="A64" s="9"/>
      <c r="B64" s="37" t="s">
        <v>109</v>
      </c>
      <c r="C64" s="37"/>
      <c r="D64" s="37"/>
      <c r="E64" s="37"/>
      <c r="F64" s="37"/>
      <c r="G64" s="37"/>
      <c r="H64" s="38"/>
    </row>
    <row r="65" ht="87.5" spans="1:8">
      <c r="A65" s="9" t="str">
        <f>_xlfn.DISPIMG("ID_96FF1A3CB1804B7A8C52D4E83BA2BEB3",1)</f>
        <v>=DISPIMG("ID_96FF1A3CB1804B7A8C52D4E83BA2BEB3",1)</v>
      </c>
      <c r="B65" s="10">
        <v>1</v>
      </c>
      <c r="C65" s="11" t="str">
        <f>_xlfn.DISPIMG("ID_230F4F1C01F845FB9C718065D2973882",1)</f>
        <v>=DISPIMG("ID_230F4F1C01F845FB9C718065D2973882",1)</v>
      </c>
      <c r="D65" s="11" t="s">
        <v>110</v>
      </c>
      <c r="E65" s="11" t="s">
        <v>111</v>
      </c>
      <c r="F65" s="12">
        <v>30</v>
      </c>
      <c r="G65" s="12" t="s">
        <v>48</v>
      </c>
      <c r="H65" s="16" t="s">
        <v>30</v>
      </c>
    </row>
    <row r="66" ht="114" spans="1:8">
      <c r="A66" s="9"/>
      <c r="B66" s="10">
        <v>2</v>
      </c>
      <c r="C66" s="11" t="str">
        <f>_xlfn.DISPIMG("ID_EC68F0B1EA374627BF368FA3C36EB404",1)</f>
        <v>=DISPIMG("ID_EC68F0B1EA374627BF368FA3C36EB404",1)</v>
      </c>
      <c r="D66" s="11" t="s">
        <v>31</v>
      </c>
      <c r="E66" s="11" t="s">
        <v>107</v>
      </c>
      <c r="F66" s="12">
        <v>30</v>
      </c>
      <c r="G66" s="12" t="s">
        <v>24</v>
      </c>
      <c r="H66" s="17" t="s">
        <v>108</v>
      </c>
    </row>
    <row r="67" ht="85.5" spans="1:8">
      <c r="A67" s="9"/>
      <c r="B67" s="10">
        <v>3</v>
      </c>
      <c r="C67" s="11" t="str">
        <f>_xlfn.DISPIMG("ID_69E4F39749154B099013A7664F49E4F0",1)</f>
        <v>=DISPIMG("ID_69E4F39749154B099013A7664F49E4F0",1)</v>
      </c>
      <c r="D67" s="11" t="s">
        <v>40</v>
      </c>
      <c r="E67" s="11" t="s">
        <v>33</v>
      </c>
      <c r="F67" s="12">
        <v>30</v>
      </c>
      <c r="G67" s="12" t="s">
        <v>34</v>
      </c>
      <c r="H67" s="20" t="s">
        <v>35</v>
      </c>
    </row>
    <row r="68" ht="114" spans="1:8">
      <c r="A68" s="9"/>
      <c r="B68" s="10">
        <v>4</v>
      </c>
      <c r="C68" s="11" t="str">
        <f>_xlfn.DISPIMG("ID_6CCAE8B493E64BAF97AB424FF5E2E29B",1)</f>
        <v>=DISPIMG("ID_6CCAE8B493E64BAF97AB424FF5E2E29B",1)</v>
      </c>
      <c r="D68" s="11" t="s">
        <v>36</v>
      </c>
      <c r="E68" s="11" t="s">
        <v>37</v>
      </c>
      <c r="F68" s="12">
        <v>3</v>
      </c>
      <c r="G68" s="12" t="s">
        <v>34</v>
      </c>
      <c r="H68" s="21" t="s">
        <v>38</v>
      </c>
    </row>
    <row r="69" ht="14.25" spans="1:8">
      <c r="A69" s="9"/>
      <c r="B69" s="33" t="s">
        <v>112</v>
      </c>
      <c r="C69" s="33"/>
      <c r="D69" s="33"/>
      <c r="E69" s="33"/>
      <c r="F69" s="33"/>
      <c r="G69" s="33"/>
      <c r="H69" s="34"/>
    </row>
    <row r="70" ht="80.85" spans="1:8">
      <c r="A70" s="9" t="str">
        <f>_xlfn.DISPIMG("ID_DB2287F67A2F4844AE336526C25F40DE",1)</f>
        <v>=DISPIMG("ID_DB2287F67A2F4844AE336526C25F40DE",1)</v>
      </c>
      <c r="B70" s="10">
        <v>1</v>
      </c>
      <c r="C70" s="11" t="str">
        <f>_xlfn.DISPIMG("ID_95C9777B95C94B6E88F471620584439F",1)</f>
        <v>=DISPIMG("ID_95C9777B95C94B6E88F471620584439F",1)</v>
      </c>
      <c r="D70" s="11" t="s">
        <v>46</v>
      </c>
      <c r="E70" s="11" t="s">
        <v>113</v>
      </c>
      <c r="F70" s="12">
        <v>2</v>
      </c>
      <c r="G70" s="12" t="s">
        <v>48</v>
      </c>
      <c r="H70" s="16" t="s">
        <v>30</v>
      </c>
    </row>
    <row r="71" ht="99.75" spans="1:8">
      <c r="A71" s="9"/>
      <c r="B71" s="10">
        <v>2</v>
      </c>
      <c r="C71" s="11" t="str">
        <f>_xlfn.DISPIMG("ID_C91EF6894511482D918D411BC4D7643D",1)</f>
        <v>=DISPIMG("ID_C91EF6894511482D918D411BC4D7643D",1)</v>
      </c>
      <c r="D71" s="11" t="s">
        <v>50</v>
      </c>
      <c r="E71" s="11" t="s">
        <v>51</v>
      </c>
      <c r="F71" s="12">
        <v>12</v>
      </c>
      <c r="G71" s="12" t="s">
        <v>24</v>
      </c>
      <c r="H71" s="15" t="s">
        <v>52</v>
      </c>
    </row>
    <row r="72" ht="114" spans="1:8">
      <c r="A72" s="9"/>
      <c r="B72" s="10">
        <v>3</v>
      </c>
      <c r="C72" s="11" t="str">
        <f>_xlfn.DISPIMG("ID_DED71797145D4D079B7FC85D146255CF",1)</f>
        <v>=DISPIMG("ID_DED71797145D4D079B7FC85D146255CF",1)</v>
      </c>
      <c r="D72" s="11" t="s">
        <v>36</v>
      </c>
      <c r="E72" s="11" t="s">
        <v>37</v>
      </c>
      <c r="F72" s="12">
        <v>2</v>
      </c>
      <c r="G72" s="12" t="s">
        <v>34</v>
      </c>
      <c r="H72" s="21" t="s">
        <v>38</v>
      </c>
    </row>
    <row r="73" ht="14.25" spans="1:8">
      <c r="A73" s="9"/>
      <c r="B73" s="33" t="s">
        <v>114</v>
      </c>
      <c r="C73" s="33"/>
      <c r="D73" s="33"/>
      <c r="E73" s="33"/>
      <c r="F73" s="33"/>
      <c r="G73" s="33"/>
      <c r="H73" s="34"/>
    </row>
    <row r="74" ht="81.45" spans="1:8">
      <c r="A74" s="9" t="str">
        <f>_xlfn.DISPIMG("ID_C51F514BBC0540A1B005428E2D5F8A68",1)</f>
        <v>=DISPIMG("ID_C51F514BBC0540A1B005428E2D5F8A68",1)</v>
      </c>
      <c r="B74" s="10">
        <v>1</v>
      </c>
      <c r="C74" s="11" t="str">
        <f>_xlfn.DISPIMG("ID_8ECB23F6DE8F447D8F092B8957AE53EA",1)</f>
        <v>=DISPIMG("ID_8ECB23F6DE8F447D8F092B8957AE53EA",1)</v>
      </c>
      <c r="D74" s="11" t="s">
        <v>110</v>
      </c>
      <c r="E74" s="11" t="s">
        <v>111</v>
      </c>
      <c r="F74" s="12">
        <v>18</v>
      </c>
      <c r="G74" s="12" t="s">
        <v>48</v>
      </c>
      <c r="H74" s="16" t="s">
        <v>30</v>
      </c>
    </row>
    <row r="75" ht="114" spans="1:8">
      <c r="A75" s="9"/>
      <c r="B75" s="10">
        <v>2</v>
      </c>
      <c r="C75" s="11" t="str">
        <f>_xlfn.DISPIMG("ID_24A592FC18DE4578ADF72388B8905C86",1)</f>
        <v>=DISPIMG("ID_24A592FC18DE4578ADF72388B8905C86",1)</v>
      </c>
      <c r="D75" s="11" t="s">
        <v>31</v>
      </c>
      <c r="E75" s="11" t="s">
        <v>107</v>
      </c>
      <c r="F75" s="12">
        <v>18</v>
      </c>
      <c r="G75" s="12" t="s">
        <v>24</v>
      </c>
      <c r="H75" s="17" t="s">
        <v>108</v>
      </c>
    </row>
    <row r="76" ht="85.5" spans="1:8">
      <c r="A76" s="9"/>
      <c r="B76" s="10">
        <v>3</v>
      </c>
      <c r="C76" s="11" t="str">
        <f>_xlfn.DISPIMG("ID_ECB6F379C4194092AA78343A4E12EB95",1)</f>
        <v>=DISPIMG("ID_ECB6F379C4194092AA78343A4E12EB95",1)</v>
      </c>
      <c r="D76" s="11" t="s">
        <v>40</v>
      </c>
      <c r="E76" s="11" t="s">
        <v>33</v>
      </c>
      <c r="F76" s="12">
        <v>9</v>
      </c>
      <c r="G76" s="12" t="s">
        <v>34</v>
      </c>
      <c r="H76" s="20" t="s">
        <v>35</v>
      </c>
    </row>
    <row r="77" ht="114" spans="1:8">
      <c r="A77" s="9"/>
      <c r="B77" s="10">
        <v>4</v>
      </c>
      <c r="C77" s="11" t="str">
        <f>_xlfn.DISPIMG("ID_72BC858E84D24DB79174271849B7F62A",1)</f>
        <v>=DISPIMG("ID_72BC858E84D24DB79174271849B7F62A",1)</v>
      </c>
      <c r="D77" s="11" t="s">
        <v>36</v>
      </c>
      <c r="E77" s="11" t="s">
        <v>37</v>
      </c>
      <c r="F77" s="12">
        <v>3</v>
      </c>
      <c r="G77" s="12" t="s">
        <v>34</v>
      </c>
      <c r="H77" s="21" t="s">
        <v>38</v>
      </c>
    </row>
    <row r="78" ht="14.25" spans="1:8">
      <c r="A78" s="9"/>
      <c r="B78" s="18" t="s">
        <v>115</v>
      </c>
      <c r="C78" s="18"/>
      <c r="D78" s="18"/>
      <c r="E78" s="18"/>
      <c r="F78" s="18"/>
      <c r="G78" s="18"/>
      <c r="H78" s="19"/>
    </row>
    <row r="79" ht="142.5" spans="1:8">
      <c r="A79" s="9" t="str">
        <f>_xlfn.DISPIMG("ID_3223C1A9C5C4484E8AFB8EFD8A1B6231",1)</f>
        <v>=DISPIMG("ID_3223C1A9C5C4484E8AFB8EFD8A1B6231",1)</v>
      </c>
      <c r="B79" s="10">
        <v>1</v>
      </c>
      <c r="C79" s="11" t="str">
        <f>_xlfn.DISPIMG("ID_83482A144A8749938554D908309AA91A",1)</f>
        <v>=DISPIMG("ID_83482A144A8749938554D908309AA91A",1)</v>
      </c>
      <c r="D79" s="11" t="s">
        <v>46</v>
      </c>
      <c r="E79" s="11" t="s">
        <v>116</v>
      </c>
      <c r="F79" s="12">
        <v>8</v>
      </c>
      <c r="G79" s="12" t="s">
        <v>117</v>
      </c>
      <c r="H79" s="21" t="s">
        <v>118</v>
      </c>
    </row>
    <row r="80" ht="99.75" spans="1:8">
      <c r="A80" s="9"/>
      <c r="B80" s="10">
        <v>2</v>
      </c>
      <c r="C80" s="11" t="str">
        <f>_xlfn.DISPIMG("ID_591480814A7949919C94478A070A5285",1)</f>
        <v>=DISPIMG("ID_591480814A7949919C94478A070A5285",1)</v>
      </c>
      <c r="D80" s="11" t="s">
        <v>50</v>
      </c>
      <c r="E80" s="11" t="s">
        <v>51</v>
      </c>
      <c r="F80" s="12">
        <v>27</v>
      </c>
      <c r="G80" s="12" t="s">
        <v>24</v>
      </c>
      <c r="H80" s="15" t="s">
        <v>52</v>
      </c>
    </row>
    <row r="81" ht="114" spans="1:8">
      <c r="A81" s="9"/>
      <c r="B81" s="10">
        <v>3</v>
      </c>
      <c r="C81" s="24" t="str">
        <f>_xlfn.DISPIMG("ID_B9B9E8E063424FC6BE825ECA6A1B3937",1)</f>
        <v>=DISPIMG("ID_B9B9E8E063424FC6BE825ECA6A1B3937",1)</v>
      </c>
      <c r="D81" s="22" t="s">
        <v>53</v>
      </c>
      <c r="E81" s="24" t="s">
        <v>119</v>
      </c>
      <c r="F81" s="12">
        <v>2</v>
      </c>
      <c r="G81" s="12" t="s">
        <v>34</v>
      </c>
      <c r="H81" s="21" t="s">
        <v>55</v>
      </c>
    </row>
    <row r="82" ht="14.25" spans="1:8">
      <c r="A82" s="9"/>
      <c r="B82" s="13" t="s">
        <v>120</v>
      </c>
      <c r="C82" s="13"/>
      <c r="D82" s="13"/>
      <c r="E82" s="13"/>
      <c r="F82" s="13"/>
      <c r="G82" s="13"/>
      <c r="H82" s="14"/>
    </row>
    <row r="83" ht="142.5" spans="1:8">
      <c r="A83" s="9" t="str">
        <f>_xlfn.DISPIMG("ID_2C67CA8127D84EF8B4AE011DDCF638B2",1)</f>
        <v>=DISPIMG("ID_2C67CA8127D84EF8B4AE011DDCF638B2",1)</v>
      </c>
      <c r="B83" s="10">
        <v>1</v>
      </c>
      <c r="C83" s="11" t="str">
        <f>_xlfn.DISPIMG("ID_F2B21DBA13024DE19531D7CB4F53C3ED",1)</f>
        <v>=DISPIMG("ID_F2B21DBA13024DE19531D7CB4F53C3ED",1)</v>
      </c>
      <c r="D83" s="11" t="s">
        <v>46</v>
      </c>
      <c r="E83" s="11" t="s">
        <v>121</v>
      </c>
      <c r="F83" s="12">
        <v>10</v>
      </c>
      <c r="G83" s="12" t="s">
        <v>117</v>
      </c>
      <c r="H83" s="21" t="s">
        <v>122</v>
      </c>
    </row>
    <row r="84" ht="99.75" spans="1:8">
      <c r="A84" s="9"/>
      <c r="B84" s="10">
        <v>2</v>
      </c>
      <c r="C84" s="11" t="str">
        <f>_xlfn.DISPIMG("ID_4F6A5FB82899429A93A5D5DC5E636B69",1)</f>
        <v>=DISPIMG("ID_4F6A5FB82899429A93A5D5DC5E636B69",1)</v>
      </c>
      <c r="D84" s="11" t="s">
        <v>50</v>
      </c>
      <c r="E84" s="11" t="s">
        <v>51</v>
      </c>
      <c r="F84" s="12">
        <v>26</v>
      </c>
      <c r="G84" s="12" t="s">
        <v>24</v>
      </c>
      <c r="H84" s="15" t="s">
        <v>52</v>
      </c>
    </row>
    <row r="85" ht="114" spans="1:8">
      <c r="A85" s="9"/>
      <c r="B85" s="10">
        <v>3</v>
      </c>
      <c r="C85" s="11" t="str">
        <f>_xlfn.DISPIMG("ID_F65259BCDFBF4DE8951873005AB9E84E",1)</f>
        <v>=DISPIMG("ID_F65259BCDFBF4DE8951873005AB9E84E",1)</v>
      </c>
      <c r="D85" s="11" t="s">
        <v>123</v>
      </c>
      <c r="E85" s="11" t="s">
        <v>37</v>
      </c>
      <c r="F85" s="12">
        <v>1</v>
      </c>
      <c r="G85" s="12" t="s">
        <v>34</v>
      </c>
      <c r="H85" s="21" t="s">
        <v>55</v>
      </c>
    </row>
    <row r="86" ht="114" spans="1:8">
      <c r="A86" s="9"/>
      <c r="B86" s="10">
        <v>4</v>
      </c>
      <c r="C86" s="24"/>
      <c r="D86" s="22" t="s">
        <v>53</v>
      </c>
      <c r="E86" s="24" t="s">
        <v>119</v>
      </c>
      <c r="F86" s="12">
        <v>2</v>
      </c>
      <c r="G86" s="12" t="s">
        <v>34</v>
      </c>
      <c r="H86" s="21" t="s">
        <v>55</v>
      </c>
    </row>
    <row r="87" ht="14.25" spans="1:8">
      <c r="A87" s="9"/>
      <c r="B87" s="18" t="s">
        <v>124</v>
      </c>
      <c r="C87" s="18"/>
      <c r="D87" s="18"/>
      <c r="E87" s="18"/>
      <c r="F87" s="18"/>
      <c r="G87" s="18"/>
      <c r="H87" s="19"/>
    </row>
    <row r="88" ht="97.15" spans="1:8">
      <c r="A88" s="9" t="str">
        <f>_xlfn.DISPIMG("ID_A9F8180AF09745C38F32B95A567BCED3",1)</f>
        <v>=DISPIMG("ID_A9F8180AF09745C38F32B95A567BCED3",1)</v>
      </c>
      <c r="B88" s="10">
        <v>1</v>
      </c>
      <c r="C88" s="30" t="str">
        <f>_xlfn.DISPIMG("ID_FF8BC750C9CB4993A470FC8BD62CE1AA",1)</f>
        <v>=DISPIMG("ID_FF8BC750C9CB4993A470FC8BD62CE1AA",1)</v>
      </c>
      <c r="D88" s="11" t="s">
        <v>125</v>
      </c>
      <c r="E88" s="11" t="s">
        <v>126</v>
      </c>
      <c r="F88" s="12">
        <v>7</v>
      </c>
      <c r="G88" s="26" t="s">
        <v>34</v>
      </c>
      <c r="H88" s="15" t="s">
        <v>127</v>
      </c>
    </row>
    <row r="89" ht="114" spans="1:8">
      <c r="A89" s="9"/>
      <c r="B89" s="10">
        <v>2</v>
      </c>
      <c r="C89" s="11" t="str">
        <f>_xlfn.DISPIMG("ID_D33E395C397144FD9104FCC18C92C273",1)</f>
        <v>=DISPIMG("ID_D33E395C397144FD9104FCC18C92C273",1)</v>
      </c>
      <c r="D89" s="11" t="s">
        <v>105</v>
      </c>
      <c r="E89" s="11" t="s">
        <v>23</v>
      </c>
      <c r="F89" s="12">
        <v>28</v>
      </c>
      <c r="G89" s="12" t="s">
        <v>24</v>
      </c>
      <c r="H89" s="21" t="s">
        <v>128</v>
      </c>
    </row>
    <row r="90" ht="142.5" spans="1:8">
      <c r="A90" s="9"/>
      <c r="B90" s="10">
        <v>3</v>
      </c>
      <c r="C90" s="30" t="str">
        <f>_xlfn.DISPIMG("ID_0AC48F66C90D4736933BC0BC5B6C9412",1)</f>
        <v>=DISPIMG("ID_0AC48F66C90D4736933BC0BC5B6C9412",1)</v>
      </c>
      <c r="D90" s="22" t="s">
        <v>129</v>
      </c>
      <c r="E90" s="22" t="s">
        <v>130</v>
      </c>
      <c r="F90" s="26">
        <v>1</v>
      </c>
      <c r="G90" s="26" t="s">
        <v>48</v>
      </c>
      <c r="H90" s="21" t="s">
        <v>131</v>
      </c>
    </row>
    <row r="91" ht="114" spans="1:8">
      <c r="A91" s="9"/>
      <c r="B91" s="10">
        <v>4</v>
      </c>
      <c r="C91" s="11" t="str">
        <f>_xlfn.DISPIMG("ID_C4672E1BB8544BB39755051856E07815",1)</f>
        <v>=DISPIMG("ID_C4672E1BB8544BB39755051856E07815",1)</v>
      </c>
      <c r="D91" s="11" t="s">
        <v>105</v>
      </c>
      <c r="E91" s="11" t="s">
        <v>23</v>
      </c>
      <c r="F91" s="12">
        <v>12</v>
      </c>
      <c r="G91" s="12" t="s">
        <v>24</v>
      </c>
      <c r="H91" s="21" t="s">
        <v>128</v>
      </c>
    </row>
    <row r="92" ht="14.25" spans="1:8">
      <c r="A92" s="9"/>
      <c r="B92" s="18" t="s">
        <v>132</v>
      </c>
      <c r="C92" s="18"/>
      <c r="D92" s="18"/>
      <c r="E92" s="18"/>
      <c r="F92" s="18"/>
      <c r="G92" s="18"/>
      <c r="H92" s="19"/>
    </row>
    <row r="93" ht="14.25" spans="1:8">
      <c r="A93" s="9"/>
      <c r="B93" s="18" t="s">
        <v>133</v>
      </c>
      <c r="C93" s="18"/>
      <c r="D93" s="18"/>
      <c r="E93" s="18"/>
      <c r="F93" s="18"/>
      <c r="G93" s="18"/>
      <c r="H93" s="19"/>
    </row>
    <row r="94" ht="71.25" spans="1:8">
      <c r="A94" s="36" t="str">
        <f>_xlfn.DISPIMG("ID_D0628CEA3C4A468A83C8609B991F993B",1)</f>
        <v>=DISPIMG("ID_D0628CEA3C4A468A83C8609B991F993B",1)</v>
      </c>
      <c r="B94" s="10">
        <v>1</v>
      </c>
      <c r="C94" s="11" t="str">
        <f>_xlfn.DISPIMG("ID_15D77754EAA2401992EE9BBD1D10A80C",1)</f>
        <v>=DISPIMG("ID_15D77754EAA2401992EE9BBD1D10A80C",1)</v>
      </c>
      <c r="D94" s="11" t="s">
        <v>110</v>
      </c>
      <c r="E94" s="11" t="s">
        <v>111</v>
      </c>
      <c r="F94" s="12">
        <v>2</v>
      </c>
      <c r="G94" s="12" t="s">
        <v>48</v>
      </c>
      <c r="H94" s="16" t="s">
        <v>30</v>
      </c>
    </row>
    <row r="95" ht="114" spans="1:8">
      <c r="A95" s="36"/>
      <c r="B95" s="10">
        <v>2</v>
      </c>
      <c r="C95" s="11" t="str">
        <f>_xlfn.DISPIMG("ID_DFB98BF9781B49E2B988B45CA5B004B3",1)</f>
        <v>=DISPIMG("ID_DFB98BF9781B49E2B988B45CA5B004B3",1)</v>
      </c>
      <c r="D95" s="11" t="s">
        <v>31</v>
      </c>
      <c r="E95" s="11" t="s">
        <v>107</v>
      </c>
      <c r="F95" s="12">
        <v>2</v>
      </c>
      <c r="G95" s="12" t="s">
        <v>24</v>
      </c>
      <c r="H95" s="17" t="s">
        <v>108</v>
      </c>
    </row>
    <row r="96" ht="103" customHeight="1" spans="1:8">
      <c r="A96" s="36"/>
      <c r="B96" s="10">
        <v>3</v>
      </c>
      <c r="C96" s="11" t="str">
        <f>_xlfn.DISPIMG("ID_A067CFE6AC524320BE01ED549816DBA7",1)</f>
        <v>=DISPIMG("ID_A067CFE6AC524320BE01ED549816DBA7",1)</v>
      </c>
      <c r="D96" s="11" t="s">
        <v>40</v>
      </c>
      <c r="E96" s="11" t="s">
        <v>33</v>
      </c>
      <c r="F96" s="12">
        <v>2</v>
      </c>
      <c r="G96" s="12" t="s">
        <v>34</v>
      </c>
      <c r="H96" s="20" t="s">
        <v>35</v>
      </c>
    </row>
    <row r="97" ht="104" customHeight="1" spans="1:8">
      <c r="A97" s="36"/>
      <c r="B97" s="10">
        <v>4</v>
      </c>
      <c r="C97" s="11" t="str">
        <f>_xlfn.DISPIMG("ID_8178856C88674C1C8144667320B102EE",1)</f>
        <v>=DISPIMG("ID_8178856C88674C1C8144667320B102EE",1)</v>
      </c>
      <c r="D97" s="11" t="s">
        <v>36</v>
      </c>
      <c r="E97" s="11" t="s">
        <v>37</v>
      </c>
      <c r="F97" s="12">
        <v>1</v>
      </c>
      <c r="G97" s="12" t="s">
        <v>34</v>
      </c>
      <c r="H97" s="21" t="s">
        <v>38</v>
      </c>
    </row>
    <row r="98" ht="14.25" spans="1:8">
      <c r="A98" s="9"/>
      <c r="B98" s="18" t="s">
        <v>134</v>
      </c>
      <c r="C98" s="18"/>
      <c r="D98" s="18"/>
      <c r="E98" s="18"/>
      <c r="F98" s="18"/>
      <c r="G98" s="18"/>
      <c r="H98" s="19"/>
    </row>
    <row r="99" ht="180" customHeight="1" spans="1:8">
      <c r="A99" s="9" t="str">
        <f>_xlfn.DISPIMG("ID_E99A572F5DE84AAC861935876B737933",1)</f>
        <v>=DISPIMG("ID_E99A572F5DE84AAC861935876B737933",1)</v>
      </c>
      <c r="B99" s="10">
        <v>1</v>
      </c>
      <c r="C99" s="11" t="str">
        <f>_xlfn.DISPIMG("ID_466974927C0A41A1BE004864576CFC50",1)</f>
        <v>=DISPIMG("ID_466974927C0A41A1BE004864576CFC50",1)</v>
      </c>
      <c r="D99" s="11" t="s">
        <v>87</v>
      </c>
      <c r="E99" s="11" t="s">
        <v>73</v>
      </c>
      <c r="F99" s="12">
        <v>1</v>
      </c>
      <c r="G99" s="12" t="s">
        <v>48</v>
      </c>
      <c r="H99" s="35" t="s">
        <v>88</v>
      </c>
    </row>
    <row r="100" ht="88" spans="1:8">
      <c r="A100" s="9"/>
      <c r="B100" s="10">
        <v>2</v>
      </c>
      <c r="C100" s="11" t="str">
        <f>_xlfn.DISPIMG("ID_23C08D5F93AD44BCACF9CB29A767F60F",1)</f>
        <v>=DISPIMG("ID_23C08D5F93AD44BCACF9CB29A767F60F",1)</v>
      </c>
      <c r="D100" s="11" t="s">
        <v>89</v>
      </c>
      <c r="E100" s="11" t="s">
        <v>23</v>
      </c>
      <c r="F100" s="12">
        <v>2</v>
      </c>
      <c r="G100" s="12" t="s">
        <v>48</v>
      </c>
      <c r="H100" s="31" t="s">
        <v>90</v>
      </c>
    </row>
    <row r="101" ht="189" customHeight="1" spans="1:8">
      <c r="A101" s="9"/>
      <c r="B101" s="10">
        <v>3</v>
      </c>
      <c r="C101" s="11" t="str">
        <f>_xlfn.DISPIMG("ID_1E104B9F7273450AA4F375C0478CD80F",1)</f>
        <v>=DISPIMG("ID_1E104B9F7273450AA4F375C0478CD80F",1)</v>
      </c>
      <c r="D101" s="11" t="s">
        <v>91</v>
      </c>
      <c r="E101" s="11" t="s">
        <v>23</v>
      </c>
      <c r="F101" s="12">
        <v>1</v>
      </c>
      <c r="G101" s="12" t="s">
        <v>48</v>
      </c>
      <c r="H101" s="35" t="s">
        <v>88</v>
      </c>
    </row>
    <row r="102" ht="181" customHeight="1" spans="1:8">
      <c r="A102" s="9"/>
      <c r="B102" s="10">
        <v>4</v>
      </c>
      <c r="C102" s="25"/>
      <c r="D102" s="25" t="s">
        <v>93</v>
      </c>
      <c r="E102" s="25" t="s">
        <v>94</v>
      </c>
      <c r="F102" s="12">
        <v>24</v>
      </c>
      <c r="G102" s="12" t="s">
        <v>48</v>
      </c>
      <c r="H102" s="35" t="s">
        <v>88</v>
      </c>
    </row>
    <row r="103" ht="88.2" spans="1:8">
      <c r="A103" s="9"/>
      <c r="B103" s="10">
        <v>5</v>
      </c>
      <c r="C103" s="25" t="str">
        <f>_xlfn.DISPIMG("ID_E32C2ADEC5C64200A447FA9AA532AC86",1)</f>
        <v>=DISPIMG("ID_E32C2ADEC5C64200A447FA9AA532AC86",1)</v>
      </c>
      <c r="D103" s="25" t="s">
        <v>95</v>
      </c>
      <c r="E103" s="25" t="s">
        <v>23</v>
      </c>
      <c r="F103" s="12">
        <v>48</v>
      </c>
      <c r="G103" s="12" t="s">
        <v>48</v>
      </c>
      <c r="H103" s="31" t="s">
        <v>90</v>
      </c>
    </row>
    <row r="104" ht="165" customHeight="1" spans="1:8">
      <c r="A104" s="9"/>
      <c r="B104" s="10">
        <v>6</v>
      </c>
      <c r="C104" s="11" t="str">
        <f>_xlfn.DISPIMG("ID_7CF8B0D77BA346A99CF6F2D3677806B6",1)</f>
        <v>=DISPIMG("ID_7CF8B0D77BA346A99CF6F2D3677806B6",1)</v>
      </c>
      <c r="D104" s="11" t="s">
        <v>36</v>
      </c>
      <c r="E104" s="25" t="s">
        <v>96</v>
      </c>
      <c r="F104" s="12">
        <v>1</v>
      </c>
      <c r="G104" s="12" t="s">
        <v>48</v>
      </c>
      <c r="H104" s="21" t="s">
        <v>97</v>
      </c>
    </row>
    <row r="105" ht="14.25" spans="1:8">
      <c r="A105" s="9"/>
      <c r="B105" s="18" t="s">
        <v>135</v>
      </c>
      <c r="C105" s="18"/>
      <c r="D105" s="18"/>
      <c r="E105" s="18"/>
      <c r="F105" s="18"/>
      <c r="G105" s="18"/>
      <c r="H105" s="19"/>
    </row>
    <row r="106" ht="82.55" spans="1:8">
      <c r="A106" s="9" t="str">
        <f>_xlfn.DISPIMG("ID_60AB53C9A03044B2A2210B193B2B2996",1)</f>
        <v>=DISPIMG("ID_60AB53C9A03044B2A2210B193B2B2996",1)</v>
      </c>
      <c r="B106" s="10">
        <v>1</v>
      </c>
      <c r="C106" s="11" t="str">
        <f>_xlfn.DISPIMG("ID_AA6CA62E2CCA4AD186DC9CC6CF816939",1)</f>
        <v>=DISPIMG("ID_AA6CA62E2CCA4AD186DC9CC6CF816939",1)</v>
      </c>
      <c r="D106" s="11" t="s">
        <v>42</v>
      </c>
      <c r="E106" s="22" t="s">
        <v>43</v>
      </c>
      <c r="F106" s="23">
        <v>36</v>
      </c>
      <c r="G106" s="12" t="s">
        <v>34</v>
      </c>
      <c r="H106" s="21" t="s">
        <v>44</v>
      </c>
    </row>
    <row r="107" ht="14.25" spans="1:8">
      <c r="A107" s="9"/>
      <c r="B107" s="18" t="s">
        <v>136</v>
      </c>
      <c r="C107" s="18"/>
      <c r="D107" s="18"/>
      <c r="E107" s="18"/>
      <c r="F107" s="18"/>
      <c r="G107" s="18"/>
      <c r="H107" s="19"/>
    </row>
    <row r="108" ht="111.05" spans="1:8">
      <c r="A108" s="9" t="str">
        <f>_xlfn.DISPIMG("ID_BA3DF7EAFBB1402FB68D0526D210745B",1)</f>
        <v>=DISPIMG("ID_BA3DF7EAFBB1402FB68D0526D210745B",1)</v>
      </c>
      <c r="B108" s="10">
        <v>1</v>
      </c>
      <c r="C108" s="11" t="str">
        <f>_xlfn.DISPIMG("ID_464CC5DA14E14FA2B935D22E62075556",1)</f>
        <v>=DISPIMG("ID_464CC5DA14E14FA2B935D22E62075556",1)</v>
      </c>
      <c r="D108" s="11" t="s">
        <v>42</v>
      </c>
      <c r="E108" s="22" t="s">
        <v>43</v>
      </c>
      <c r="F108" s="23">
        <v>21</v>
      </c>
      <c r="G108" s="12" t="s">
        <v>34</v>
      </c>
      <c r="H108" s="21" t="s">
        <v>44</v>
      </c>
    </row>
    <row r="109" ht="71.25" spans="1:8">
      <c r="A109" s="9"/>
      <c r="B109" s="10">
        <v>2</v>
      </c>
      <c r="C109" s="11" t="str">
        <f>_xlfn.DISPIMG("ID_154EEECB943740A88CE7205FD63FC4D4",1)</f>
        <v>=DISPIMG("ID_154EEECB943740A88CE7205FD63FC4D4",1)</v>
      </c>
      <c r="D109" s="11" t="s">
        <v>137</v>
      </c>
      <c r="E109" s="11" t="s">
        <v>113</v>
      </c>
      <c r="F109" s="12">
        <v>4</v>
      </c>
      <c r="G109" s="12" t="s">
        <v>48</v>
      </c>
      <c r="H109" s="16" t="s">
        <v>30</v>
      </c>
    </row>
    <row r="110" ht="14.25" spans="1:8">
      <c r="A110" s="9"/>
      <c r="B110" s="18" t="s">
        <v>138</v>
      </c>
      <c r="C110" s="18"/>
      <c r="D110" s="18"/>
      <c r="E110" s="18"/>
      <c r="F110" s="18"/>
      <c r="G110" s="18"/>
      <c r="H110" s="19"/>
    </row>
    <row r="111" ht="97" customHeight="1" spans="1:8">
      <c r="A111" s="36" t="str">
        <f>_xlfn.DISPIMG("ID_52E53C4F12E04D7685B40D16A016AD17",1)</f>
        <v>=DISPIMG("ID_52E53C4F12E04D7685B40D16A016AD17",1)</v>
      </c>
      <c r="B111" s="10">
        <v>1</v>
      </c>
      <c r="C111" s="11" t="str">
        <f>_xlfn.DISPIMG("ID_E33086ECC1AD4C939DE959A73EF496EF",1)</f>
        <v>=DISPIMG("ID_E33086ECC1AD4C939DE959A73EF496EF",1)</v>
      </c>
      <c r="D111" s="25" t="s">
        <v>139</v>
      </c>
      <c r="E111" s="25" t="s">
        <v>140</v>
      </c>
      <c r="F111" s="12" t="s">
        <v>48</v>
      </c>
      <c r="G111" s="12">
        <v>20</v>
      </c>
      <c r="H111" s="11" t="s">
        <v>141</v>
      </c>
    </row>
    <row r="112" ht="166" customHeight="1" spans="1:8">
      <c r="A112" s="36"/>
      <c r="B112" s="10">
        <v>2</v>
      </c>
      <c r="C112" s="11" t="str">
        <f>_xlfn.DISPIMG("ID_528515231AD34F428C6C518CFDAAA3FB",1)</f>
        <v>=DISPIMG("ID_528515231AD34F428C6C518CFDAAA3FB",1)</v>
      </c>
      <c r="D112" s="11" t="s">
        <v>142</v>
      </c>
      <c r="E112" s="11" t="s">
        <v>143</v>
      </c>
      <c r="F112" s="12" t="s">
        <v>48</v>
      </c>
      <c r="G112" s="12">
        <v>40</v>
      </c>
      <c r="H112" s="15" t="s">
        <v>144</v>
      </c>
    </row>
    <row r="113" ht="115" customHeight="1" spans="1:8">
      <c r="A113" s="36" t="str">
        <f>_xlfn.DISPIMG("ID_A7B68AB449924B36A3501A41C78A4B55",1)</f>
        <v>=DISPIMG("ID_A7B68AB449924B36A3501A41C78A4B55",1)</v>
      </c>
      <c r="B113" s="10">
        <v>3</v>
      </c>
      <c r="C113" s="11" t="str">
        <f>_xlfn.DISPIMG("ID_36063AA67E284F1CB57A5868D7A06F16",1)</f>
        <v>=DISPIMG("ID_36063AA67E284F1CB57A5868D7A06F16",1)</v>
      </c>
      <c r="D113" s="11" t="s">
        <v>145</v>
      </c>
      <c r="E113" s="11" t="s">
        <v>146</v>
      </c>
      <c r="F113" s="12" t="s">
        <v>34</v>
      </c>
      <c r="G113" s="12">
        <v>4</v>
      </c>
      <c r="H113" s="21" t="s">
        <v>147</v>
      </c>
    </row>
    <row r="114" ht="111" customHeight="1" spans="1:8">
      <c r="A114" s="36"/>
      <c r="B114" s="10">
        <v>4</v>
      </c>
      <c r="C114" s="11" t="str">
        <f>_xlfn.DISPIMG("ID_1697B7DCF606463F90B041BCE2C99859",1)</f>
        <v>=DISPIMG("ID_1697B7DCF606463F90B041BCE2C99859",1)</v>
      </c>
      <c r="D114" s="11" t="s">
        <v>148</v>
      </c>
      <c r="E114" s="11" t="s">
        <v>149</v>
      </c>
      <c r="F114" s="12" t="s">
        <v>34</v>
      </c>
      <c r="G114" s="12">
        <v>2</v>
      </c>
      <c r="H114" s="21" t="s">
        <v>38</v>
      </c>
    </row>
    <row r="115" ht="14.25" spans="1:8">
      <c r="A115" s="9"/>
      <c r="B115" s="18" t="s">
        <v>150</v>
      </c>
      <c r="C115" s="18"/>
      <c r="D115" s="18"/>
      <c r="E115" s="18"/>
      <c r="F115" s="18"/>
      <c r="G115" s="18"/>
      <c r="H115" s="19"/>
    </row>
    <row r="116" ht="128.25" spans="1:8">
      <c r="A116" s="9" t="str">
        <f>_xlfn.DISPIMG("ID_5ECE0DB4873B48A194DE547E62D0159D",1)</f>
        <v>=DISPIMG("ID_5ECE0DB4873B48A194DE547E62D0159D",1)</v>
      </c>
      <c r="B116" s="10">
        <v>1</v>
      </c>
      <c r="C116" s="39" t="str">
        <f>_xlfn.DISPIMG("ID_9ED631C8DC654C67A92FA52B1BD1001B",1)</f>
        <v>=DISPIMG("ID_9ED631C8DC654C67A92FA52B1BD1001B",1)</v>
      </c>
      <c r="D116" s="11" t="s">
        <v>151</v>
      </c>
      <c r="E116" s="22" t="s">
        <v>152</v>
      </c>
      <c r="F116" s="26">
        <v>20</v>
      </c>
      <c r="G116" s="26" t="s">
        <v>48</v>
      </c>
      <c r="H116" s="15" t="s">
        <v>153</v>
      </c>
    </row>
    <row r="117" ht="114" spans="1:8">
      <c r="A117" s="9"/>
      <c r="B117" s="10">
        <v>3</v>
      </c>
      <c r="C117" s="39" t="str">
        <f>_xlfn.DISPIMG("ID_78516AF6F6064495A7CF339DE70420DB",1)</f>
        <v>=DISPIMG("ID_78516AF6F6064495A7CF339DE70420DB",1)</v>
      </c>
      <c r="D117" s="22" t="s">
        <v>154</v>
      </c>
      <c r="E117" s="22" t="s">
        <v>155</v>
      </c>
      <c r="F117" s="26">
        <v>30</v>
      </c>
      <c r="G117" s="26" t="s">
        <v>11</v>
      </c>
      <c r="H117" s="15" t="s">
        <v>156</v>
      </c>
    </row>
    <row r="118" ht="114" spans="1:8">
      <c r="A118" s="9"/>
      <c r="B118" s="10">
        <v>4</v>
      </c>
      <c r="C118" s="39" t="str">
        <f>_xlfn.DISPIMG("ID_1F9405D5B9A04956A7990298BF75BA38",1)</f>
        <v>=DISPIMG("ID_1F9405D5B9A04956A7990298BF75BA38",1)</v>
      </c>
      <c r="D118" s="22" t="s">
        <v>157</v>
      </c>
      <c r="E118" s="22" t="s">
        <v>158</v>
      </c>
      <c r="F118" s="26">
        <v>20</v>
      </c>
      <c r="G118" s="26" t="s">
        <v>34</v>
      </c>
      <c r="H118" s="15" t="s">
        <v>156</v>
      </c>
    </row>
    <row r="119" ht="114" spans="1:8">
      <c r="A119" s="9"/>
      <c r="B119" s="10">
        <v>5</v>
      </c>
      <c r="C119" s="39" t="str">
        <f>_xlfn.DISPIMG("ID_09E19C1407CB4EFCA9CFF8A5B9D98E93",1)</f>
        <v>=DISPIMG("ID_09E19C1407CB4EFCA9CFF8A5B9D98E93",1)</v>
      </c>
      <c r="D119" s="22" t="s">
        <v>159</v>
      </c>
      <c r="E119" s="22" t="s">
        <v>160</v>
      </c>
      <c r="F119" s="26">
        <v>20</v>
      </c>
      <c r="G119" s="26" t="s">
        <v>48</v>
      </c>
      <c r="H119" s="15" t="s">
        <v>156</v>
      </c>
    </row>
    <row r="120" ht="87.45" spans="1:8">
      <c r="A120" s="9"/>
      <c r="B120" s="10">
        <v>6</v>
      </c>
      <c r="C120" s="39" t="str">
        <f>_xlfn.DISPIMG("ID_7D945FF97DEE49FFB06779BC3700FBFB",1)</f>
        <v>=DISPIMG("ID_7D945FF97DEE49FFB06779BC3700FBFB",1)</v>
      </c>
      <c r="D120" s="40" t="s">
        <v>161</v>
      </c>
      <c r="E120" s="22" t="s">
        <v>23</v>
      </c>
      <c r="F120" s="26">
        <v>20</v>
      </c>
      <c r="G120" s="26" t="s">
        <v>48</v>
      </c>
      <c r="H120" s="21" t="s">
        <v>162</v>
      </c>
    </row>
    <row r="121" ht="114" spans="1:8">
      <c r="A121" s="9"/>
      <c r="B121" s="10">
        <v>7</v>
      </c>
      <c r="C121" s="39" t="str">
        <f>_xlfn.DISPIMG("ID_1B0342D16674460C9FFA6CCFBBB4D322",1)</f>
        <v>=DISPIMG("ID_1B0342D16674460C9FFA6CCFBBB4D322",1)</v>
      </c>
      <c r="D121" s="25" t="s">
        <v>163</v>
      </c>
      <c r="E121" s="22" t="s">
        <v>164</v>
      </c>
      <c r="F121" s="12" t="s">
        <v>34</v>
      </c>
      <c r="G121" s="12">
        <v>10</v>
      </c>
      <c r="H121" s="21" t="s">
        <v>38</v>
      </c>
    </row>
    <row r="122" ht="114" spans="1:8">
      <c r="A122" s="9"/>
      <c r="B122" s="10">
        <v>8</v>
      </c>
      <c r="C122" s="11" t="str">
        <f>_xlfn.DISPIMG("ID_69A9BD16E94542CDAA26A810C3BBD692",1)</f>
        <v>=DISPIMG("ID_69A9BD16E94542CDAA26A810C3BBD692",1)</v>
      </c>
      <c r="D122" s="11" t="s">
        <v>148</v>
      </c>
      <c r="E122" s="11" t="s">
        <v>149</v>
      </c>
      <c r="F122" s="12" t="s">
        <v>34</v>
      </c>
      <c r="G122" s="12">
        <v>10</v>
      </c>
      <c r="H122" s="21" t="s">
        <v>38</v>
      </c>
    </row>
    <row r="123" ht="14.25" spans="1:8">
      <c r="A123" s="9"/>
      <c r="B123" s="18" t="s">
        <v>165</v>
      </c>
      <c r="C123" s="18"/>
      <c r="D123" s="18"/>
      <c r="E123" s="18"/>
      <c r="F123" s="18"/>
      <c r="G123" s="18"/>
      <c r="H123" s="19"/>
    </row>
    <row r="124" ht="52" customHeight="1" spans="1:8">
      <c r="A124" s="36"/>
      <c r="B124" s="10">
        <v>1</v>
      </c>
      <c r="C124" s="11" t="str">
        <f>_xlfn.DISPIMG("ID_892F1A4131FF4F7B8FC1B2A843878C4B",1)</f>
        <v>=DISPIMG("ID_892F1A4131FF4F7B8FC1B2A843878C4B",1)</v>
      </c>
      <c r="D124" s="11" t="s">
        <v>166</v>
      </c>
      <c r="E124" s="22" t="s">
        <v>43</v>
      </c>
      <c r="F124" s="23">
        <v>38</v>
      </c>
      <c r="G124" s="12" t="s">
        <v>34</v>
      </c>
      <c r="H124" s="21" t="s">
        <v>167</v>
      </c>
    </row>
    <row r="125" ht="79" customHeight="1" spans="1:8">
      <c r="A125" s="36"/>
      <c r="B125" s="10">
        <v>2</v>
      </c>
      <c r="C125" s="11" t="str">
        <f>_xlfn.DISPIMG("ID_8DF12324ABE346A6BFCFF54C27EEA05F",1)</f>
        <v>=DISPIMG("ID_8DF12324ABE346A6BFCFF54C27EEA05F",1)</v>
      </c>
      <c r="D125" s="11" t="s">
        <v>168</v>
      </c>
      <c r="E125" s="11" t="s">
        <v>160</v>
      </c>
      <c r="F125" s="12">
        <v>2</v>
      </c>
      <c r="G125" s="12" t="s">
        <v>48</v>
      </c>
      <c r="H125" s="16" t="s">
        <v>169</v>
      </c>
    </row>
    <row r="126" s="2" customFormat="1" ht="97" customHeight="1" spans="1:8">
      <c r="A126" s="36"/>
      <c r="B126" s="41">
        <v>3</v>
      </c>
      <c r="C126" s="42" t="str">
        <f>_xlfn.DISPIMG("ID_1B20594704DE4DBA8FBC295DABB26A7C",1)</f>
        <v>=DISPIMG("ID_1B20594704DE4DBA8FBC295DABB26A7C",1)</v>
      </c>
      <c r="D126" s="11" t="s">
        <v>40</v>
      </c>
      <c r="E126" s="11" t="s">
        <v>33</v>
      </c>
      <c r="F126" s="12">
        <v>2</v>
      </c>
      <c r="G126" s="12" t="s">
        <v>34</v>
      </c>
      <c r="H126" s="20" t="s">
        <v>35</v>
      </c>
    </row>
    <row r="127" s="2" customFormat="1" ht="77" customHeight="1" spans="1:8">
      <c r="A127" s="36"/>
      <c r="B127" s="41">
        <v>4</v>
      </c>
      <c r="C127" s="42" t="str">
        <f>_xlfn.DISPIMG("ID_D6F6D7434A0348DD9902A9E716AC74FF",1)</f>
        <v>=DISPIMG("ID_D6F6D7434A0348DD9902A9E716AC74FF",1)</v>
      </c>
      <c r="D127" s="11" t="s">
        <v>170</v>
      </c>
      <c r="E127" s="11" t="s">
        <v>73</v>
      </c>
      <c r="F127" s="12">
        <v>1</v>
      </c>
      <c r="G127" s="12" t="s">
        <v>48</v>
      </c>
      <c r="H127" s="16" t="s">
        <v>30</v>
      </c>
    </row>
    <row r="128" ht="71.25" spans="1:8">
      <c r="A128" s="9"/>
      <c r="B128" s="10">
        <v>5</v>
      </c>
      <c r="C128" s="11" t="str">
        <f>_xlfn.DISPIMG("ID_2D858695ED7E49FD9A7473B0EA9B524D",1)</f>
        <v>=DISPIMG("ID_2D858695ED7E49FD9A7473B0EA9B524D",1)</v>
      </c>
      <c r="D128" s="11" t="s">
        <v>31</v>
      </c>
      <c r="E128" s="11" t="s">
        <v>23</v>
      </c>
      <c r="F128" s="12">
        <v>3</v>
      </c>
      <c r="G128" s="12" t="s">
        <v>24</v>
      </c>
      <c r="H128" s="43" t="s">
        <v>171</v>
      </c>
    </row>
    <row r="129" ht="14.25" spans="1:8">
      <c r="A129" s="9"/>
      <c r="B129" s="18" t="s">
        <v>172</v>
      </c>
      <c r="C129" s="18"/>
      <c r="D129" s="18"/>
      <c r="E129" s="18"/>
      <c r="F129" s="18"/>
      <c r="G129" s="18"/>
      <c r="H129" s="19"/>
    </row>
    <row r="130" ht="99.75" spans="1:8">
      <c r="A130" s="36" t="str">
        <f>_xlfn.DISPIMG("ID_8A92C953CAAF4A21B1C005D865105956",1)</f>
        <v>=DISPIMG("ID_8A92C953CAAF4A21B1C005D865105956",1)</v>
      </c>
      <c r="B130" s="10">
        <v>1</v>
      </c>
      <c r="C130" s="11" t="str">
        <f>_xlfn.DISPIMG("ID_36F1566E0B6843789985E64261D0C57D",1)</f>
        <v>=DISPIMG("ID_36F1566E0B6843789985E64261D0C57D",1)</v>
      </c>
      <c r="D130" s="11" t="s">
        <v>173</v>
      </c>
      <c r="E130" s="11" t="s">
        <v>160</v>
      </c>
      <c r="F130" s="12">
        <v>30</v>
      </c>
      <c r="G130" s="12" t="s">
        <v>48</v>
      </c>
      <c r="H130" s="15" t="s">
        <v>174</v>
      </c>
    </row>
    <row r="131" ht="228" customHeight="1" spans="1:8">
      <c r="A131" s="36"/>
      <c r="B131" s="10">
        <v>2</v>
      </c>
      <c r="C131" s="11" t="str">
        <f>_xlfn.DISPIMG("ID_371DA193186146CB8ABFBE530920DFCA",1)</f>
        <v>=DISPIMG("ID_371DA193186146CB8ABFBE530920DFCA",1)</v>
      </c>
      <c r="D131" s="11" t="s">
        <v>175</v>
      </c>
      <c r="E131" s="11" t="s">
        <v>176</v>
      </c>
      <c r="F131" s="12">
        <v>120</v>
      </c>
      <c r="G131" s="12" t="s">
        <v>24</v>
      </c>
      <c r="H131" s="15" t="s">
        <v>177</v>
      </c>
    </row>
    <row r="132" ht="14.25" spans="1:8">
      <c r="A132" s="44"/>
      <c r="B132" s="18" t="s">
        <v>178</v>
      </c>
      <c r="C132" s="18"/>
      <c r="D132" s="18"/>
      <c r="E132" s="18"/>
      <c r="F132" s="18"/>
      <c r="G132" s="18"/>
      <c r="H132" s="19"/>
    </row>
    <row r="133" ht="81.8" spans="1:8">
      <c r="A133" s="44"/>
      <c r="B133" s="10">
        <v>1</v>
      </c>
      <c r="C133" s="39" t="str">
        <f>_xlfn.DISPIMG("ID_12DBB4AFF0A847E99202E7E7677E0D61",1)</f>
        <v>=DISPIMG("ID_12DBB4AFF0A847E99202E7E7677E0D61",1)</v>
      </c>
      <c r="D133" s="11" t="s">
        <v>179</v>
      </c>
      <c r="E133" s="22" t="s">
        <v>180</v>
      </c>
      <c r="F133" s="26">
        <v>1</v>
      </c>
      <c r="G133" s="26" t="s">
        <v>48</v>
      </c>
      <c r="H133" s="15" t="s">
        <v>181</v>
      </c>
    </row>
    <row r="134" ht="142.5" spans="1:8">
      <c r="A134" s="44"/>
      <c r="B134" s="10">
        <v>2</v>
      </c>
      <c r="C134" s="39" t="str">
        <f>_xlfn.DISPIMG("ID_4A1D81DC6FD24C299A235084F636BAA9",1)</f>
        <v>=DISPIMG("ID_4A1D81DC6FD24C299A235084F636BAA9",1)</v>
      </c>
      <c r="D134" s="22" t="s">
        <v>175</v>
      </c>
      <c r="E134" s="22" t="s">
        <v>182</v>
      </c>
      <c r="F134" s="26">
        <v>15</v>
      </c>
      <c r="G134" s="26" t="s">
        <v>24</v>
      </c>
      <c r="H134" s="15" t="s">
        <v>183</v>
      </c>
    </row>
    <row r="135" ht="14.25" spans="1:8">
      <c r="A135" s="9"/>
      <c r="B135" s="18" t="s">
        <v>184</v>
      </c>
      <c r="C135" s="18"/>
      <c r="D135" s="18"/>
      <c r="E135" s="18"/>
      <c r="F135" s="18"/>
      <c r="G135" s="18"/>
      <c r="H135" s="19"/>
    </row>
    <row r="136" ht="409.5" spans="1:8">
      <c r="A136" s="9" t="str">
        <f>_xlfn.DISPIMG("ID_30FD557A771547D7AD4AB520A3D7CAE2",1)</f>
        <v>=DISPIMG("ID_30FD557A771547D7AD4AB520A3D7CAE2",1)</v>
      </c>
      <c r="B136" s="10">
        <v>1</v>
      </c>
      <c r="C136" s="11" t="str">
        <f>_xlfn.DISPIMG("ID_95FA7CAC44BD4C54ACC33936D68633CA",1)</f>
        <v>=DISPIMG("ID_95FA7CAC44BD4C54ACC33936D68633CA",1)</v>
      </c>
      <c r="D136" s="11" t="s">
        <v>185</v>
      </c>
      <c r="E136" s="22" t="s">
        <v>186</v>
      </c>
      <c r="F136" s="23">
        <v>38</v>
      </c>
      <c r="G136" s="12" t="s">
        <v>34</v>
      </c>
      <c r="H136" s="21" t="s">
        <v>187</v>
      </c>
    </row>
    <row r="137" ht="14.25" spans="1:8">
      <c r="A137" s="9"/>
      <c r="B137" s="19" t="s">
        <v>188</v>
      </c>
      <c r="C137" s="45"/>
      <c r="D137" s="45"/>
      <c r="E137" s="15"/>
      <c r="F137" s="43"/>
      <c r="G137" s="43"/>
      <c r="H137" s="15"/>
    </row>
    <row r="138" ht="48.75" spans="1:8">
      <c r="A138" s="9" t="str">
        <f>_xlfn.DISPIMG("ID_A7434EB9309F4DE88FD37A7FB349C7B0",1)</f>
        <v>=DISPIMG("ID_A7434EB9309F4DE88FD37A7FB349C7B0",1)</v>
      </c>
      <c r="B138" s="10">
        <v>1</v>
      </c>
      <c r="C138" s="11" t="str">
        <f>_xlfn.DISPIMG("ID_BF54348419A6472ABB975A3340A52D7A",1)</f>
        <v>=DISPIMG("ID_BF54348419A6472ABB975A3340A52D7A",1)</v>
      </c>
      <c r="D138" s="11" t="s">
        <v>189</v>
      </c>
      <c r="E138" s="22" t="s">
        <v>43</v>
      </c>
      <c r="F138" s="23">
        <v>15</v>
      </c>
      <c r="G138" s="12" t="s">
        <v>34</v>
      </c>
      <c r="H138" s="21" t="s">
        <v>167</v>
      </c>
    </row>
    <row r="139" ht="85.5" spans="1:8">
      <c r="A139" s="9"/>
      <c r="B139" s="10">
        <v>2</v>
      </c>
      <c r="C139" s="11" t="str">
        <f>_xlfn.DISPIMG("ID_C33F186FE52B4B25ACC05703694AA20B",1)</f>
        <v>=DISPIMG("ID_C33F186FE52B4B25ACC05703694AA20B",1)</v>
      </c>
      <c r="D139" s="11" t="s">
        <v>40</v>
      </c>
      <c r="E139" s="22" t="s">
        <v>190</v>
      </c>
      <c r="F139" s="23">
        <v>4</v>
      </c>
      <c r="G139" s="12" t="s">
        <v>34</v>
      </c>
      <c r="H139" s="20" t="s">
        <v>35</v>
      </c>
    </row>
    <row r="140" ht="71.25" spans="1:8">
      <c r="A140" s="9"/>
      <c r="B140" s="10">
        <v>3</v>
      </c>
      <c r="C140" s="11" t="str">
        <f>_xlfn.DISPIMG("ID_5C2788B7EA0945D5ABFD1438F13D84F5",1)</f>
        <v>=DISPIMG("ID_5C2788B7EA0945D5ABFD1438F13D84F5",1)</v>
      </c>
      <c r="D140" s="11" t="s">
        <v>168</v>
      </c>
      <c r="E140" s="11" t="s">
        <v>160</v>
      </c>
      <c r="F140" s="12">
        <v>2</v>
      </c>
      <c r="G140" s="12" t="s">
        <v>48</v>
      </c>
      <c r="H140" s="16" t="s">
        <v>169</v>
      </c>
    </row>
    <row r="141" ht="72.65" spans="1:8">
      <c r="A141" s="9"/>
      <c r="B141" s="10">
        <v>4</v>
      </c>
      <c r="C141" s="30" t="str">
        <f>_xlfn.DISPIMG("ID_78BAEF87B96140D8A622CEEB128E1731",1)</f>
        <v>=DISPIMG("ID_78BAEF87B96140D8A622CEEB128E1731",1)</v>
      </c>
      <c r="D141" s="11" t="s">
        <v>191</v>
      </c>
      <c r="E141" s="12" t="s">
        <v>192</v>
      </c>
      <c r="F141" s="12">
        <v>2</v>
      </c>
      <c r="G141" s="12" t="s">
        <v>48</v>
      </c>
      <c r="H141" s="43" t="s">
        <v>193</v>
      </c>
    </row>
    <row r="142" ht="71.25" spans="1:8">
      <c r="A142" s="9"/>
      <c r="B142" s="10">
        <v>5</v>
      </c>
      <c r="C142" s="11" t="str">
        <f>_xlfn.DISPIMG("ID_B4A01CA5ED5D4935A15EA68C269BFBE4",1)</f>
        <v>=DISPIMG("ID_B4A01CA5ED5D4935A15EA68C269BFBE4",1)</v>
      </c>
      <c r="D142" s="11" t="s">
        <v>31</v>
      </c>
      <c r="E142" s="11" t="s">
        <v>23</v>
      </c>
      <c r="F142" s="12">
        <v>2</v>
      </c>
      <c r="G142" s="12" t="s">
        <v>24</v>
      </c>
      <c r="H142" s="43" t="s">
        <v>171</v>
      </c>
    </row>
    <row r="143" ht="14.25" spans="1:8">
      <c r="A143" s="9"/>
      <c r="B143" s="18" t="s">
        <v>194</v>
      </c>
      <c r="C143" s="18"/>
      <c r="D143" s="18"/>
      <c r="E143" s="18"/>
      <c r="F143" s="18"/>
      <c r="G143" s="18"/>
      <c r="H143" s="19"/>
    </row>
    <row r="144" ht="97" customHeight="1" spans="1:8">
      <c r="A144" s="46"/>
      <c r="B144" s="10">
        <v>1</v>
      </c>
      <c r="C144" s="11" t="str">
        <f>_xlfn.DISPIMG("ID_E1B30F75D93842448DD8362F8E6577CE",1)</f>
        <v>=DISPIMG("ID_E1B30F75D93842448DD8362F8E6577CE",1)</v>
      </c>
      <c r="D144" s="11" t="s">
        <v>170</v>
      </c>
      <c r="E144" s="47" t="s">
        <v>195</v>
      </c>
      <c r="F144" s="12">
        <v>3</v>
      </c>
      <c r="G144" s="12" t="s">
        <v>48</v>
      </c>
      <c r="H144" s="48" t="s">
        <v>196</v>
      </c>
    </row>
    <row r="145" s="3" customFormat="1" ht="82" customHeight="1" spans="1:8">
      <c r="A145" s="46"/>
      <c r="B145" s="10">
        <v>2</v>
      </c>
      <c r="C145" s="11" t="str">
        <f>_xlfn.DISPIMG("ID_20565E9D971D4FDBBB77966E3FED6E9C",1)</f>
        <v>=DISPIMG("ID_20565E9D971D4FDBBB77966E3FED6E9C",1)</v>
      </c>
      <c r="D145" s="11" t="s">
        <v>31</v>
      </c>
      <c r="E145" s="11" t="s">
        <v>23</v>
      </c>
      <c r="F145" s="12">
        <v>3</v>
      </c>
      <c r="G145" s="12" t="s">
        <v>24</v>
      </c>
      <c r="H145" s="43" t="s">
        <v>171</v>
      </c>
    </row>
    <row r="146" ht="105" customHeight="1" spans="1:8">
      <c r="A146" s="46"/>
      <c r="B146" s="10">
        <v>3</v>
      </c>
      <c r="C146" s="11" t="str">
        <f>_xlfn.DISPIMG("ID_46F61DAF59914DB5A363E6C17CC7BAEA",1)</f>
        <v>=DISPIMG("ID_46F61DAF59914DB5A363E6C17CC7BAEA",1)</v>
      </c>
      <c r="D146" s="11" t="s">
        <v>40</v>
      </c>
      <c r="E146" s="11" t="s">
        <v>33</v>
      </c>
      <c r="F146" s="12">
        <v>3</v>
      </c>
      <c r="G146" s="12" t="s">
        <v>34</v>
      </c>
      <c r="H146" s="20" t="s">
        <v>35</v>
      </c>
    </row>
    <row r="147" ht="114" spans="1:8">
      <c r="A147" s="46"/>
      <c r="B147" s="10">
        <v>4</v>
      </c>
      <c r="C147" s="39" t="str">
        <f>_xlfn.DISPIMG("ID_AE5D09C351A0466EA171B8FCDDCAB01E",1)</f>
        <v>=DISPIMG("ID_AE5D09C351A0466EA171B8FCDDCAB01E",1)</v>
      </c>
      <c r="D147" s="11" t="s">
        <v>197</v>
      </c>
      <c r="E147" s="11" t="s">
        <v>198</v>
      </c>
      <c r="F147" s="26">
        <v>3</v>
      </c>
      <c r="G147" s="26" t="s">
        <v>48</v>
      </c>
      <c r="H147" s="15" t="s">
        <v>199</v>
      </c>
    </row>
    <row r="148" ht="114" spans="1:8">
      <c r="A148" s="46"/>
      <c r="B148" s="10">
        <v>5</v>
      </c>
      <c r="C148" s="39" t="str">
        <f>_xlfn.DISPIMG("ID_3385584F7D5F4F0BAC75CB1BD2A52719",1)</f>
        <v>=DISPIMG("ID_3385584F7D5F4F0BAC75CB1BD2A52719",1)</v>
      </c>
      <c r="D148" s="22" t="s">
        <v>154</v>
      </c>
      <c r="E148" s="22" t="s">
        <v>155</v>
      </c>
      <c r="F148" s="26">
        <v>2</v>
      </c>
      <c r="G148" s="26" t="s">
        <v>11</v>
      </c>
      <c r="H148" s="15" t="s">
        <v>200</v>
      </c>
    </row>
    <row r="149" ht="114" spans="1:8">
      <c r="A149" s="46"/>
      <c r="B149" s="10">
        <v>6</v>
      </c>
      <c r="C149" s="39" t="str">
        <f>_xlfn.DISPIMG("ID_15E704AE07E04AE1A3A8A2CB270E17CB",1)</f>
        <v>=DISPIMG("ID_15E704AE07E04AE1A3A8A2CB270E17CB",1)</v>
      </c>
      <c r="D149" s="49" t="s">
        <v>201</v>
      </c>
      <c r="E149" s="22" t="s">
        <v>202</v>
      </c>
      <c r="F149" s="26">
        <v>1</v>
      </c>
      <c r="G149" s="26" t="s">
        <v>34</v>
      </c>
      <c r="H149" s="15" t="s">
        <v>156</v>
      </c>
    </row>
    <row r="150" s="1" customFormat="1" ht="114" spans="1:8">
      <c r="A150" s="46"/>
      <c r="B150" s="10">
        <v>7</v>
      </c>
      <c r="C150" s="11" t="str">
        <f>_xlfn.DISPIMG("ID_809FA978D7244187B2893199A612A116",1)</f>
        <v>=DISPIMG("ID_809FA978D7244187B2893199A612A116",1)</v>
      </c>
      <c r="D150" s="11" t="s">
        <v>145</v>
      </c>
      <c r="E150" s="11" t="s">
        <v>203</v>
      </c>
      <c r="F150" s="12">
        <v>3</v>
      </c>
      <c r="G150" s="26" t="s">
        <v>34</v>
      </c>
      <c r="H150" s="21" t="s">
        <v>147</v>
      </c>
    </row>
    <row r="151" s="1" customFormat="1" ht="114" spans="1:8">
      <c r="A151" s="46"/>
      <c r="B151" s="10">
        <v>8</v>
      </c>
      <c r="C151" s="11" t="str">
        <f>_xlfn.DISPIMG("ID_B43EE20F412E4A7EAA8BF95D3624E08E",1)</f>
        <v>=DISPIMG("ID_B43EE20F412E4A7EAA8BF95D3624E08E",1)</v>
      </c>
      <c r="D151" s="11" t="s">
        <v>204</v>
      </c>
      <c r="E151" s="11" t="s">
        <v>203</v>
      </c>
      <c r="F151" s="12">
        <v>1</v>
      </c>
      <c r="G151" s="26" t="s">
        <v>34</v>
      </c>
      <c r="H151" s="21" t="s">
        <v>147</v>
      </c>
    </row>
    <row r="152" ht="14.25" spans="1:8">
      <c r="A152" s="9"/>
      <c r="B152" s="18" t="s">
        <v>205</v>
      </c>
      <c r="C152" s="18"/>
      <c r="D152" s="18"/>
      <c r="E152" s="18"/>
      <c r="F152" s="18"/>
      <c r="G152" s="18"/>
      <c r="H152" s="19"/>
    </row>
    <row r="153" ht="71.25" spans="1:8">
      <c r="A153" s="36" t="str">
        <f>_xlfn.DISPIMG("ID_379C9FD242B54B0AA1162681B9B9A727",1)</f>
        <v>=DISPIMG("ID_379C9FD242B54B0AA1162681B9B9A727",1)</v>
      </c>
      <c r="B153" s="10">
        <v>1</v>
      </c>
      <c r="C153" s="11" t="str">
        <f>_xlfn.DISPIMG("ID_AD21AB4B17AD45E3A4C9FCBDCFF21205",1)</f>
        <v>=DISPIMG("ID_AD21AB4B17AD45E3A4C9FCBDCFF21205",1)</v>
      </c>
      <c r="D153" s="11" t="s">
        <v>46</v>
      </c>
      <c r="E153" s="11" t="s">
        <v>206</v>
      </c>
      <c r="F153" s="12">
        <v>1</v>
      </c>
      <c r="G153" s="12" t="s">
        <v>48</v>
      </c>
      <c r="H153" s="16" t="s">
        <v>207</v>
      </c>
    </row>
    <row r="154" ht="114" spans="1:8">
      <c r="A154" s="36"/>
      <c r="B154" s="10">
        <v>2</v>
      </c>
      <c r="C154" s="11" t="str">
        <f>_xlfn.DISPIMG("ID_7836F4F42CAE485BAB4322F58C4181F0",1)</f>
        <v>=DISPIMG("ID_7836F4F42CAE485BAB4322F58C4181F0",1)</v>
      </c>
      <c r="D154" s="11" t="s">
        <v>50</v>
      </c>
      <c r="E154" s="11" t="s">
        <v>208</v>
      </c>
      <c r="F154" s="12">
        <v>14</v>
      </c>
      <c r="G154" s="12" t="s">
        <v>24</v>
      </c>
      <c r="H154" s="15" t="s">
        <v>209</v>
      </c>
    </row>
    <row r="155" ht="114" spans="1:8">
      <c r="A155" s="36"/>
      <c r="B155" s="10">
        <v>3</v>
      </c>
      <c r="C155" s="11" t="str">
        <f>_xlfn.DISPIMG("ID_B44DEF97D2A847C8BE45EF7FEE3B1165",1)</f>
        <v>=DISPIMG("ID_B44DEF97D2A847C8BE45EF7FEE3B1165",1)</v>
      </c>
      <c r="D155" s="11" t="s">
        <v>36</v>
      </c>
      <c r="E155" s="11" t="s">
        <v>37</v>
      </c>
      <c r="F155" s="12">
        <v>1</v>
      </c>
      <c r="G155" s="12" t="s">
        <v>34</v>
      </c>
      <c r="H155" s="21" t="s">
        <v>38</v>
      </c>
    </row>
    <row r="156" ht="14.25" spans="1:8">
      <c r="A156" s="9"/>
      <c r="B156" s="18" t="s">
        <v>210</v>
      </c>
      <c r="C156" s="18"/>
      <c r="D156" s="18"/>
      <c r="E156" s="18"/>
      <c r="F156" s="18"/>
      <c r="G156" s="18"/>
      <c r="H156" s="19"/>
    </row>
    <row r="157" ht="112.1" spans="1:8">
      <c r="A157" s="9" t="str">
        <f>_xlfn.DISPIMG("ID_2ABE735315D14A8ABA9DD9D450B27191",1)</f>
        <v>=DISPIMG("ID_2ABE735315D14A8ABA9DD9D450B27191",1)</v>
      </c>
      <c r="B157" s="10">
        <v>1</v>
      </c>
      <c r="C157" s="11" t="str">
        <f>_xlfn.DISPIMG("ID_30910DDCBC1D4C7D8A3D97438FFC215A",1)</f>
        <v>=DISPIMG("ID_30910DDCBC1D4C7D8A3D97438FFC215A",1)</v>
      </c>
      <c r="D157" s="25" t="s">
        <v>139</v>
      </c>
      <c r="E157" s="25" t="s">
        <v>211</v>
      </c>
      <c r="F157" s="12">
        <v>12</v>
      </c>
      <c r="G157" s="12" t="s">
        <v>48</v>
      </c>
      <c r="H157" s="11" t="s">
        <v>141</v>
      </c>
    </row>
    <row r="158" ht="156.75" spans="1:8">
      <c r="A158" s="9"/>
      <c r="B158" s="10">
        <v>2</v>
      </c>
      <c r="C158" s="11" t="str">
        <f>_xlfn.DISPIMG("ID_3BC7741271724DADA7FF3316693982D0",1)</f>
        <v>=DISPIMG("ID_3BC7741271724DADA7FF3316693982D0",1)</v>
      </c>
      <c r="D158" s="11" t="s">
        <v>212</v>
      </c>
      <c r="E158" s="11" t="s">
        <v>213</v>
      </c>
      <c r="F158" s="12">
        <v>24</v>
      </c>
      <c r="G158" s="12" t="s">
        <v>48</v>
      </c>
      <c r="H158" s="15" t="s">
        <v>144</v>
      </c>
    </row>
    <row r="159" ht="146" customHeight="1" spans="1:8">
      <c r="A159" s="9"/>
      <c r="B159" s="10">
        <v>3</v>
      </c>
      <c r="C159" s="11" t="str">
        <f>_xlfn.DISPIMG("ID_D274441D3DCA41159ACBF8B2F2C36BCE",1)</f>
        <v>=DISPIMG("ID_D274441D3DCA41159ACBF8B2F2C36BCE",1)</v>
      </c>
      <c r="D159" s="11" t="s">
        <v>214</v>
      </c>
      <c r="E159" s="11" t="s">
        <v>215</v>
      </c>
      <c r="F159" s="12">
        <v>3</v>
      </c>
      <c r="G159" s="12" t="s">
        <v>34</v>
      </c>
      <c r="H159" s="21" t="s">
        <v>147</v>
      </c>
    </row>
    <row r="160" ht="131" customHeight="1" spans="1:8">
      <c r="A160" s="36" t="str">
        <f>_xlfn.DISPIMG("ID_21608CD1556F4127A3FA94BBA827357E",1)</f>
        <v>=DISPIMG("ID_21608CD1556F4127A3FA94BBA827357E",1)</v>
      </c>
      <c r="B160" s="18" t="s">
        <v>216</v>
      </c>
      <c r="C160" s="18"/>
      <c r="D160" s="18"/>
      <c r="E160" s="18"/>
      <c r="F160" s="18"/>
      <c r="G160" s="18"/>
      <c r="H160" s="19"/>
    </row>
    <row r="161" ht="42.75" spans="1:8">
      <c r="A161" s="36"/>
      <c r="B161" s="10"/>
      <c r="C161" s="11" t="str">
        <f>_xlfn.DISPIMG("ID_F3A2F42726CD439E8FBEF7EA7C052580",1)</f>
        <v>=DISPIMG("ID_F3A2F42726CD439E8FBEF7EA7C052580",1)</v>
      </c>
      <c r="D161" s="11" t="s">
        <v>217</v>
      </c>
      <c r="E161" s="11" t="s">
        <v>218</v>
      </c>
      <c r="F161" s="12">
        <v>4</v>
      </c>
      <c r="G161" s="12" t="s">
        <v>34</v>
      </c>
      <c r="H161" s="21" t="s">
        <v>219</v>
      </c>
    </row>
    <row r="162" ht="14.25" spans="1:8">
      <c r="A162" s="9"/>
      <c r="B162" s="18" t="s">
        <v>220</v>
      </c>
      <c r="C162" s="18"/>
      <c r="D162" s="18"/>
      <c r="E162" s="18"/>
      <c r="F162" s="18"/>
      <c r="G162" s="18"/>
      <c r="H162" s="19"/>
    </row>
    <row r="163" ht="71.25" spans="1:8">
      <c r="A163" s="9"/>
      <c r="B163" s="10">
        <v>1</v>
      </c>
      <c r="C163" s="11" t="str">
        <f>_xlfn.DISPIMG("ID_3ADC8E5E6DC54D32ADB2A07A837D1D79",1)</f>
        <v>=DISPIMG("ID_3ADC8E5E6DC54D32ADB2A07A837D1D79",1)</v>
      </c>
      <c r="D163" s="11" t="s">
        <v>221</v>
      </c>
      <c r="E163" s="11" t="s">
        <v>222</v>
      </c>
      <c r="F163" s="12">
        <v>2</v>
      </c>
      <c r="G163" s="12" t="s">
        <v>65</v>
      </c>
      <c r="H163" s="21" t="s">
        <v>223</v>
      </c>
    </row>
    <row r="164" ht="14.25" spans="1:8">
      <c r="A164" s="9"/>
      <c r="B164" s="18" t="s">
        <v>224</v>
      </c>
      <c r="C164" s="18"/>
      <c r="D164" s="18"/>
      <c r="E164" s="18"/>
      <c r="F164" s="18"/>
      <c r="G164" s="18"/>
      <c r="H164" s="19"/>
    </row>
    <row r="165" ht="114" spans="1:8">
      <c r="A165" s="36" t="str">
        <f>_xlfn.DISPIMG("ID_6F5F8131354C4B388CFB028CEDE3912B",1)</f>
        <v>=DISPIMG("ID_6F5F8131354C4B388CFB028CEDE3912B",1)</v>
      </c>
      <c r="B165" s="10">
        <v>1</v>
      </c>
      <c r="C165" s="11" t="str">
        <f>_xlfn.DISPIMG("ID_0B8FB29318B942349F314EEB869F6E2C",1)</f>
        <v>=DISPIMG("ID_0B8FB29318B942349F314EEB869F6E2C",1)</v>
      </c>
      <c r="D165" s="11" t="s">
        <v>225</v>
      </c>
      <c r="E165" s="11" t="s">
        <v>226</v>
      </c>
      <c r="F165" s="12">
        <v>4</v>
      </c>
      <c r="G165" s="12" t="s">
        <v>48</v>
      </c>
      <c r="H165" s="21" t="s">
        <v>227</v>
      </c>
    </row>
    <row r="166" ht="71.25" spans="1:8">
      <c r="A166" s="36"/>
      <c r="B166" s="10">
        <v>2</v>
      </c>
      <c r="C166" s="11" t="str">
        <f>_xlfn.DISPIMG("ID_25DA8BB4602D4B2F8511AB9C7F96472C",1)</f>
        <v>=DISPIMG("ID_25DA8BB4602D4B2F8511AB9C7F96472C",1)</v>
      </c>
      <c r="D166" s="11" t="s">
        <v>31</v>
      </c>
      <c r="E166" s="11" t="s">
        <v>23</v>
      </c>
      <c r="F166" s="12">
        <v>4</v>
      </c>
      <c r="G166" s="12" t="s">
        <v>24</v>
      </c>
      <c r="H166" s="43" t="s">
        <v>171</v>
      </c>
    </row>
    <row r="167" ht="114" spans="1:8">
      <c r="A167" s="36"/>
      <c r="B167" s="10">
        <v>3</v>
      </c>
      <c r="C167" s="24" t="str">
        <f>_xlfn.DISPIMG("ID_C141D70236384478BFB2A857D9A0A768",1)</f>
        <v>=DISPIMG("ID_C141D70236384478BFB2A857D9A0A768",1)</v>
      </c>
      <c r="D167" s="22" t="s">
        <v>40</v>
      </c>
      <c r="E167" s="24" t="s">
        <v>228</v>
      </c>
      <c r="F167" s="12">
        <v>4</v>
      </c>
      <c r="G167" s="12" t="s">
        <v>34</v>
      </c>
      <c r="H167" s="21" t="s">
        <v>55</v>
      </c>
    </row>
    <row r="168" ht="114" spans="1:8">
      <c r="A168" s="36"/>
      <c r="B168" s="10">
        <v>4</v>
      </c>
      <c r="C168" s="11" t="str">
        <f>_xlfn.DISPIMG("ID_BE3881A4D00F43E198037F6070737B99",1)</f>
        <v>=DISPIMG("ID_BE3881A4D00F43E198037F6070737B99",1)</v>
      </c>
      <c r="D168" s="11" t="s">
        <v>36</v>
      </c>
      <c r="E168" s="11" t="s">
        <v>37</v>
      </c>
      <c r="F168" s="12">
        <v>1</v>
      </c>
      <c r="G168" s="12" t="s">
        <v>34</v>
      </c>
      <c r="H168" s="21" t="s">
        <v>38</v>
      </c>
    </row>
    <row r="169" ht="85.5" spans="1:8">
      <c r="A169" s="44"/>
      <c r="B169" s="10">
        <v>4</v>
      </c>
      <c r="C169" s="11" t="str">
        <f>_xlfn.DISPIMG("ID_4C001D6B9FF44DEE838446836898B32C",1)</f>
        <v>=DISPIMG("ID_4C001D6B9FF44DEE838446836898B32C",1)</v>
      </c>
      <c r="D169" s="11" t="s">
        <v>9</v>
      </c>
      <c r="E169" s="11" t="s">
        <v>229</v>
      </c>
      <c r="F169" s="12">
        <v>1</v>
      </c>
      <c r="G169" s="12" t="s">
        <v>11</v>
      </c>
      <c r="H169" s="15" t="s">
        <v>230</v>
      </c>
    </row>
    <row r="170" ht="85.5" spans="1:8">
      <c r="A170" s="9"/>
      <c r="B170" s="10">
        <v>5</v>
      </c>
      <c r="C170" s="11"/>
      <c r="D170" s="11" t="s">
        <v>231</v>
      </c>
      <c r="E170" s="11" t="s">
        <v>232</v>
      </c>
      <c r="F170" s="12">
        <v>1</v>
      </c>
      <c r="G170" s="12" t="s">
        <v>11</v>
      </c>
      <c r="H170" s="15" t="s">
        <v>230</v>
      </c>
    </row>
    <row r="171" ht="71.25" spans="1:8">
      <c r="A171" s="9"/>
      <c r="B171" s="10">
        <v>6</v>
      </c>
      <c r="C171" s="11" t="str">
        <f>_xlfn.DISPIMG("ID_BF2B3B3726CA4955A7DF0099DF172287",1)</f>
        <v>=DISPIMG("ID_BF2B3B3726CA4955A7DF0099DF172287",1)</v>
      </c>
      <c r="D171" s="11" t="s">
        <v>233</v>
      </c>
      <c r="E171" s="11" t="s">
        <v>234</v>
      </c>
      <c r="F171" s="12">
        <v>1</v>
      </c>
      <c r="G171" s="12" t="s">
        <v>11</v>
      </c>
      <c r="H171" s="16" t="s">
        <v>235</v>
      </c>
    </row>
    <row r="172" ht="71.25" spans="1:8">
      <c r="A172" s="9"/>
      <c r="B172" s="10">
        <v>7</v>
      </c>
      <c r="C172" s="49" t="str">
        <f>_xlfn.DISPIMG("ID_3603674689BC4B43A0DB8F6E1E459F08",1)</f>
        <v>=DISPIMG("ID_3603674689BC4B43A0DB8F6E1E459F08",1)</v>
      </c>
      <c r="D172" s="49" t="s">
        <v>236</v>
      </c>
      <c r="E172" s="49" t="s">
        <v>237</v>
      </c>
      <c r="F172" s="50">
        <v>1</v>
      </c>
      <c r="G172" s="50" t="s">
        <v>11</v>
      </c>
      <c r="H172" s="51" t="s">
        <v>235</v>
      </c>
    </row>
    <row r="173" ht="14.25" spans="1:8">
      <c r="A173" s="9"/>
      <c r="B173" s="18" t="s">
        <v>238</v>
      </c>
      <c r="C173" s="18"/>
      <c r="D173" s="18"/>
      <c r="E173" s="18"/>
      <c r="F173" s="18"/>
      <c r="G173" s="18"/>
      <c r="H173" s="19"/>
    </row>
    <row r="174" ht="114" spans="1:8">
      <c r="A174" s="36" t="str">
        <f>_xlfn.DISPIMG("ID_30887972114F4E3C91CA7B0F2E026AA2",1)</f>
        <v>=DISPIMG("ID_30887972114F4E3C91CA7B0F2E026AA2",1)</v>
      </c>
      <c r="B174" s="10"/>
      <c r="C174" s="11" t="str">
        <f>_xlfn.DISPIMG("ID_78B5F5D4962C44929AC20FA4C12DFFCF",1)</f>
        <v>=DISPIMG("ID_78B5F5D4962C44929AC20FA4C12DFFCF",1)</v>
      </c>
      <c r="D174" s="11" t="s">
        <v>225</v>
      </c>
      <c r="E174" s="11" t="s">
        <v>226</v>
      </c>
      <c r="F174" s="12">
        <v>4</v>
      </c>
      <c r="G174" s="12" t="s">
        <v>48</v>
      </c>
      <c r="H174" s="21" t="s">
        <v>227</v>
      </c>
    </row>
    <row r="175" ht="71.25" spans="1:8">
      <c r="A175" s="36"/>
      <c r="B175" s="10"/>
      <c r="C175" s="11" t="str">
        <f>_xlfn.DISPIMG("ID_B40A839F07CF42E69D0D4B1F99F7EB25",1)</f>
        <v>=DISPIMG("ID_B40A839F07CF42E69D0D4B1F99F7EB25",1)</v>
      </c>
      <c r="D175" s="11" t="s">
        <v>31</v>
      </c>
      <c r="E175" s="11" t="s">
        <v>23</v>
      </c>
      <c r="F175" s="12">
        <v>4</v>
      </c>
      <c r="G175" s="12" t="s">
        <v>24</v>
      </c>
      <c r="H175" s="43" t="s">
        <v>171</v>
      </c>
    </row>
    <row r="176" ht="114" spans="1:8">
      <c r="A176" s="44"/>
      <c r="B176" s="10"/>
      <c r="C176" s="24" t="str">
        <f>_xlfn.DISPIMG("ID_FEB2C62AD79A414C8BB994CF833E285B",1)</f>
        <v>=DISPIMG("ID_FEB2C62AD79A414C8BB994CF833E285B",1)</v>
      </c>
      <c r="D176" s="22" t="s">
        <v>40</v>
      </c>
      <c r="E176" s="24" t="s">
        <v>228</v>
      </c>
      <c r="F176" s="12">
        <v>2</v>
      </c>
      <c r="G176" s="12" t="s">
        <v>34</v>
      </c>
      <c r="H176" s="21" t="s">
        <v>55</v>
      </c>
    </row>
    <row r="177" ht="114" spans="1:8">
      <c r="A177" s="44"/>
      <c r="B177" s="10"/>
      <c r="C177" s="11" t="str">
        <f>_xlfn.DISPIMG("ID_A0E7AF0FDD974A60B8E1F6FBC58F6132",1)</f>
        <v>=DISPIMG("ID_A0E7AF0FDD974A60B8E1F6FBC58F6132",1)</v>
      </c>
      <c r="D177" s="11" t="s">
        <v>36</v>
      </c>
      <c r="E177" s="11" t="s">
        <v>37</v>
      </c>
      <c r="F177" s="12">
        <v>1</v>
      </c>
      <c r="G177" s="12" t="s">
        <v>34</v>
      </c>
      <c r="H177" s="21" t="s">
        <v>38</v>
      </c>
    </row>
    <row r="178" ht="14.25" spans="1:8">
      <c r="A178" s="9"/>
      <c r="B178" s="18" t="s">
        <v>239</v>
      </c>
      <c r="C178" s="18"/>
      <c r="D178" s="18"/>
      <c r="E178" s="18"/>
      <c r="F178" s="18"/>
      <c r="G178" s="18"/>
      <c r="H178" s="19"/>
    </row>
    <row r="179" ht="128.25" spans="1:8">
      <c r="A179" s="9"/>
      <c r="B179" s="10">
        <v>1</v>
      </c>
      <c r="C179" s="22" t="str">
        <f>_xlfn.DISPIMG("ID_3C19E933357F43CCA956AC790D81B871",1)</f>
        <v>=DISPIMG("ID_3C19E933357F43CCA956AC790D81B871",1)</v>
      </c>
      <c r="D179" s="11" t="s">
        <v>240</v>
      </c>
      <c r="E179" s="11" t="s">
        <v>241</v>
      </c>
      <c r="F179" s="26">
        <v>40</v>
      </c>
      <c r="G179" s="26" t="s">
        <v>48</v>
      </c>
      <c r="H179" s="15" t="s">
        <v>242</v>
      </c>
    </row>
    <row r="180" ht="114" spans="1:8">
      <c r="A180" s="9"/>
      <c r="B180" s="10">
        <v>2</v>
      </c>
      <c r="C180" s="22"/>
      <c r="D180" s="11"/>
      <c r="E180" s="11" t="s">
        <v>243</v>
      </c>
      <c r="F180" s="26">
        <v>2</v>
      </c>
      <c r="G180" s="26" t="s">
        <v>48</v>
      </c>
      <c r="H180" s="15" t="s">
        <v>199</v>
      </c>
    </row>
    <row r="181" ht="114" spans="1:8">
      <c r="A181" s="9" t="str">
        <f>_xlfn.DISPIMG("ID_72E2927770314A7998811D3C422E6EAC",1)</f>
        <v>=DISPIMG("ID_72E2927770314A7998811D3C422E6EAC",1)</v>
      </c>
      <c r="B181" s="10">
        <v>3</v>
      </c>
      <c r="C181" s="39" t="str">
        <f>_xlfn.DISPIMG("ID_E34B669B5E434F6481B88EB77CC8A94B",1)</f>
        <v>=DISPIMG("ID_E34B669B5E434F6481B88EB77CC8A94B",1)</v>
      </c>
      <c r="D181" s="22" t="s">
        <v>154</v>
      </c>
      <c r="E181" s="22" t="s">
        <v>155</v>
      </c>
      <c r="F181" s="26">
        <v>44</v>
      </c>
      <c r="G181" s="26" t="s">
        <v>11</v>
      </c>
      <c r="H181" s="15" t="s">
        <v>200</v>
      </c>
    </row>
    <row r="182" ht="114" spans="1:8">
      <c r="A182" s="36" t="s">
        <v>244</v>
      </c>
      <c r="B182" s="10">
        <v>4</v>
      </c>
      <c r="C182" s="39" t="str">
        <f>_xlfn.DISPIMG("ID_48192933E5CF4456B5D0C3EB3A06AA55",1)</f>
        <v>=DISPIMG("ID_48192933E5CF4456B5D0C3EB3A06AA55",1)</v>
      </c>
      <c r="D182" s="22" t="s">
        <v>157</v>
      </c>
      <c r="E182" s="11" t="s">
        <v>245</v>
      </c>
      <c r="F182" s="26">
        <v>40</v>
      </c>
      <c r="G182" s="26" t="s">
        <v>34</v>
      </c>
      <c r="H182" s="15" t="s">
        <v>200</v>
      </c>
    </row>
    <row r="183" ht="140.85" spans="1:8">
      <c r="A183" s="9"/>
      <c r="B183" s="10">
        <v>5</v>
      </c>
      <c r="C183" s="39" t="str">
        <f>_xlfn.DISPIMG("ID_E29894B9699248EFA0CDBC57231DFDD2",1)</f>
        <v>=DISPIMG("ID_E29894B9699248EFA0CDBC57231DFDD2",1)</v>
      </c>
      <c r="D183" s="11" t="s">
        <v>246</v>
      </c>
      <c r="E183" s="11" t="s">
        <v>247</v>
      </c>
      <c r="F183" s="26">
        <v>40</v>
      </c>
      <c r="G183" s="26" t="s">
        <v>48</v>
      </c>
      <c r="H183" s="15" t="s">
        <v>156</v>
      </c>
    </row>
    <row r="184" ht="142.5" spans="1:8">
      <c r="A184" s="9"/>
      <c r="B184" s="10">
        <v>6</v>
      </c>
      <c r="C184" s="39" t="str">
        <f>_xlfn.DISPIMG("ID_8408C0B75A2D4027BF07BFA8629C889B",1)</f>
        <v>=DISPIMG("ID_8408C0B75A2D4027BF07BFA8629C889B",1)</v>
      </c>
      <c r="D184" s="22" t="s">
        <v>248</v>
      </c>
      <c r="E184" s="25" t="s">
        <v>249</v>
      </c>
      <c r="F184" s="26">
        <v>42</v>
      </c>
      <c r="G184" s="26" t="s">
        <v>24</v>
      </c>
      <c r="H184" s="15" t="s">
        <v>183</v>
      </c>
    </row>
    <row r="185" ht="244.9" spans="1:8">
      <c r="A185" s="9" t="str">
        <f>_xlfn.DISPIMG("ID_50E64EA3CE0845E689C49CF950D0A4F1",1)</f>
        <v>=DISPIMG("ID_50E64EA3CE0845E689C49CF950D0A4F1",1)</v>
      </c>
      <c r="B185" s="10">
        <v>7</v>
      </c>
      <c r="C185" s="39" t="str">
        <f>_xlfn.DISPIMG("ID_33B24F7109224EF09D982B5C33314BB4",1)</f>
        <v>=DISPIMG("ID_33B24F7109224EF09D982B5C33314BB4",1)</v>
      </c>
      <c r="D185" s="11" t="s">
        <v>250</v>
      </c>
      <c r="E185" s="25" t="s">
        <v>251</v>
      </c>
      <c r="F185" s="26">
        <v>1</v>
      </c>
      <c r="G185" s="26" t="s">
        <v>34</v>
      </c>
      <c r="H185" s="15" t="s">
        <v>156</v>
      </c>
    </row>
    <row r="186" ht="99.75" spans="1:8">
      <c r="A186" s="9"/>
      <c r="B186" s="10">
        <v>8</v>
      </c>
      <c r="C186" s="39" t="str">
        <f>_xlfn.DISPIMG("ID_9398A2E1AA1E4591B7797CE2ED21807F",1)</f>
        <v>=DISPIMG("ID_9398A2E1AA1E4591B7797CE2ED21807F",1)</v>
      </c>
      <c r="D186" s="40" t="s">
        <v>252</v>
      </c>
      <c r="E186" s="40" t="s">
        <v>253</v>
      </c>
      <c r="F186" s="26">
        <v>1</v>
      </c>
      <c r="G186" s="26" t="s">
        <v>65</v>
      </c>
      <c r="H186" s="21" t="s">
        <v>254</v>
      </c>
    </row>
    <row r="187" ht="14.25" spans="1:8">
      <c r="A187" s="9"/>
      <c r="B187" s="18" t="s">
        <v>255</v>
      </c>
      <c r="C187" s="18"/>
      <c r="D187" s="18"/>
      <c r="E187" s="18"/>
      <c r="F187" s="18"/>
      <c r="G187" s="18"/>
      <c r="H187" s="19"/>
    </row>
    <row r="188" ht="111.15" spans="1:8">
      <c r="A188" s="9" t="str">
        <f>_xlfn.DISPIMG("ID_952151A075114FE38995AA2B00143835",1)</f>
        <v>=DISPIMG("ID_952151A075114FE38995AA2B00143835",1)</v>
      </c>
      <c r="B188" s="10">
        <v>1</v>
      </c>
      <c r="C188" s="24" t="str">
        <f>_xlfn.DISPIMG("ID_E33E5C0EDA3F46BFB98B58CE541E725C",1)</f>
        <v>=DISPIMG("ID_E33E5C0EDA3F46BFB98B58CE541E725C",1)</v>
      </c>
      <c r="D188" s="11" t="s">
        <v>256</v>
      </c>
      <c r="E188" s="22" t="s">
        <v>257</v>
      </c>
      <c r="F188" s="12">
        <v>59</v>
      </c>
      <c r="G188" s="26" t="s">
        <v>34</v>
      </c>
      <c r="H188" s="15" t="s">
        <v>258</v>
      </c>
    </row>
    <row r="189" ht="14.25" spans="1:8">
      <c r="A189" s="36" t="str">
        <f>_xlfn.DISPIMG("ID_4831835C02E64D4AB35AC2786E01F9C9",1)</f>
        <v>=DISPIMG("ID_4831835C02E64D4AB35AC2786E01F9C9",1)</v>
      </c>
      <c r="B189" s="13" t="s">
        <v>259</v>
      </c>
      <c r="C189" s="13"/>
      <c r="D189" s="13"/>
      <c r="E189" s="13"/>
      <c r="F189" s="13"/>
      <c r="G189" s="13"/>
      <c r="H189" s="14"/>
    </row>
    <row r="190" ht="141" customHeight="1" spans="1:8">
      <c r="A190" s="36"/>
      <c r="B190" s="10">
        <v>1</v>
      </c>
      <c r="C190" s="11" t="str">
        <f>_xlfn.DISPIMG("ID_F917877C8F974FEDBC7E8ED1CB84A9C6",1)</f>
        <v>=DISPIMG("ID_F917877C8F974FEDBC7E8ED1CB84A9C6",1)</v>
      </c>
      <c r="D190" s="11" t="s">
        <v>189</v>
      </c>
      <c r="E190" s="22" t="s">
        <v>260</v>
      </c>
      <c r="F190" s="23">
        <v>17</v>
      </c>
      <c r="G190" s="12" t="s">
        <v>34</v>
      </c>
      <c r="H190" s="21" t="s">
        <v>167</v>
      </c>
    </row>
    <row r="191" ht="14.25" spans="1:8">
      <c r="A191" s="9"/>
      <c r="B191" s="18" t="s">
        <v>261</v>
      </c>
      <c r="C191" s="18"/>
      <c r="D191" s="18"/>
      <c r="E191" s="18"/>
      <c r="F191" s="18"/>
      <c r="G191" s="18"/>
      <c r="H191" s="19"/>
    </row>
    <row r="192" ht="128.25" spans="1:8">
      <c r="A192" s="9" t="str">
        <f>_xlfn.DISPIMG("ID_1CB331E31F7348E18A44858AFA4B9DE3",1)</f>
        <v>=DISPIMG("ID_1CB331E31F7348E18A44858AFA4B9DE3",1)</v>
      </c>
      <c r="B192" s="10">
        <v>1</v>
      </c>
      <c r="C192" s="11" t="str">
        <f>_xlfn.DISPIMG("ID_0C4118A075D94FD09415A9F8652A3B29",1)</f>
        <v>=DISPIMG("ID_0C4118A075D94FD09415A9F8652A3B29",1)</v>
      </c>
      <c r="D192" s="11" t="s">
        <v>262</v>
      </c>
      <c r="E192" s="11" t="s">
        <v>263</v>
      </c>
      <c r="F192" s="12">
        <v>2</v>
      </c>
      <c r="G192" s="12" t="s">
        <v>48</v>
      </c>
      <c r="H192" s="15" t="s">
        <v>264</v>
      </c>
    </row>
    <row r="193" ht="128.25" spans="1:8">
      <c r="A193" s="9"/>
      <c r="B193" s="10">
        <v>2</v>
      </c>
      <c r="C193" s="11"/>
      <c r="D193" s="11" t="s">
        <v>262</v>
      </c>
      <c r="E193" s="11" t="s">
        <v>265</v>
      </c>
      <c r="F193" s="12">
        <v>1</v>
      </c>
      <c r="G193" s="12" t="s">
        <v>48</v>
      </c>
      <c r="H193" s="15" t="s">
        <v>264</v>
      </c>
    </row>
    <row r="194" ht="71.25" spans="1:8">
      <c r="A194" s="9"/>
      <c r="B194" s="10">
        <v>3</v>
      </c>
      <c r="C194" s="11" t="str">
        <f>_xlfn.DISPIMG("ID_46D47D70DF0049469F71A961055B9C29",1)</f>
        <v>=DISPIMG("ID_46D47D70DF0049469F71A961055B9C29",1)</v>
      </c>
      <c r="D194" s="11" t="s">
        <v>89</v>
      </c>
      <c r="E194" s="11" t="s">
        <v>266</v>
      </c>
      <c r="F194" s="12">
        <v>5</v>
      </c>
      <c r="G194" s="12" t="s">
        <v>48</v>
      </c>
      <c r="H194" s="52" t="s">
        <v>90</v>
      </c>
    </row>
    <row r="195" ht="128.25" spans="1:8">
      <c r="A195" s="9"/>
      <c r="B195" s="10">
        <v>4</v>
      </c>
      <c r="C195" s="11" t="str">
        <f>_xlfn.DISPIMG("ID_5AAA61F1AAA34EDB8B5D77D1C827C4F2",1)</f>
        <v>=DISPIMG("ID_5AAA61F1AAA34EDB8B5D77D1C827C4F2",1)</v>
      </c>
      <c r="D195" s="11" t="s">
        <v>267</v>
      </c>
      <c r="E195" s="11" t="s">
        <v>268</v>
      </c>
      <c r="F195" s="12">
        <v>32</v>
      </c>
      <c r="G195" s="12" t="s">
        <v>48</v>
      </c>
      <c r="H195" s="15" t="s">
        <v>264</v>
      </c>
    </row>
    <row r="196" ht="71.25" spans="1:8">
      <c r="A196" s="9"/>
      <c r="B196" s="10">
        <v>5</v>
      </c>
      <c r="C196" s="25" t="str">
        <f>_xlfn.DISPIMG("ID_F7145EC3DD294BDFBB79795868C11387",1)</f>
        <v>=DISPIMG("ID_F7145EC3DD294BDFBB79795868C11387",1)</v>
      </c>
      <c r="D196" s="25" t="s">
        <v>95</v>
      </c>
      <c r="E196" s="11" t="s">
        <v>266</v>
      </c>
      <c r="F196" s="12">
        <v>64</v>
      </c>
      <c r="G196" s="12" t="s">
        <v>48</v>
      </c>
      <c r="H196" s="52" t="s">
        <v>90</v>
      </c>
    </row>
    <row r="197" ht="14.25" spans="1:8">
      <c r="A197" s="9"/>
      <c r="B197" s="13" t="s">
        <v>269</v>
      </c>
      <c r="C197" s="13"/>
      <c r="D197" s="13"/>
      <c r="E197" s="13"/>
      <c r="F197" s="13"/>
      <c r="G197" s="13"/>
      <c r="H197" s="14"/>
    </row>
    <row r="198" ht="114" spans="1:8">
      <c r="A198" s="36" t="str">
        <f>_xlfn.DISPIMG("ID_409B2FC006784F35B092BF8ECE3DED89",1)</f>
        <v>=DISPIMG("ID_409B2FC006784F35B092BF8ECE3DED89",1)</v>
      </c>
      <c r="B198" s="10">
        <v>1</v>
      </c>
      <c r="C198" s="11" t="str">
        <f>_xlfn.DISPIMG("ID_B97CE384857649988F23CD76B9183E88",1)</f>
        <v>=DISPIMG("ID_B97CE384857649988F23CD76B9183E88",1)</v>
      </c>
      <c r="D198" s="11" t="s">
        <v>225</v>
      </c>
      <c r="E198" s="11" t="s">
        <v>270</v>
      </c>
      <c r="F198" s="12">
        <v>1</v>
      </c>
      <c r="G198" s="12" t="s">
        <v>48</v>
      </c>
      <c r="H198" s="21" t="s">
        <v>271</v>
      </c>
    </row>
    <row r="199" ht="114" spans="1:8">
      <c r="A199" s="36"/>
      <c r="B199" s="10">
        <v>2</v>
      </c>
      <c r="C199" s="11" t="str">
        <f>_xlfn.DISPIMG("ID_63FD70CA277440F9A6585533100FB615",1)</f>
        <v>=DISPIMG("ID_63FD70CA277440F9A6585533100FB615",1)</v>
      </c>
      <c r="D199" s="11" t="s">
        <v>105</v>
      </c>
      <c r="E199" s="11" t="s">
        <v>23</v>
      </c>
      <c r="F199" s="12">
        <v>1</v>
      </c>
      <c r="G199" s="12" t="s">
        <v>24</v>
      </c>
      <c r="H199" s="21" t="s">
        <v>128</v>
      </c>
    </row>
    <row r="200" ht="114" spans="1:8">
      <c r="A200" s="36"/>
      <c r="B200" s="10">
        <v>3</v>
      </c>
      <c r="C200" s="11" t="str">
        <f>_xlfn.DISPIMG("ID_6A2A0A2DA44346FDBE45E609E44FF75B",1)</f>
        <v>=DISPIMG("ID_6A2A0A2DA44346FDBE45E609E44FF75B",1)</v>
      </c>
      <c r="D200" s="11" t="s">
        <v>99</v>
      </c>
      <c r="E200" s="11" t="s">
        <v>23</v>
      </c>
      <c r="F200" s="12">
        <v>2</v>
      </c>
      <c r="G200" s="12" t="s">
        <v>24</v>
      </c>
      <c r="H200" s="15" t="s">
        <v>272</v>
      </c>
    </row>
    <row r="201" ht="14.25" spans="1:8">
      <c r="A201" s="9"/>
      <c r="B201" s="13" t="s">
        <v>273</v>
      </c>
      <c r="C201" s="13"/>
      <c r="D201" s="13"/>
      <c r="E201" s="13"/>
      <c r="F201" s="13"/>
      <c r="G201" s="13"/>
      <c r="H201" s="14"/>
    </row>
    <row r="202" ht="71.25" spans="1:8">
      <c r="A202" s="36" t="str">
        <f>_xlfn.DISPIMG("ID_41A809C01623450182A4D5AE58D1E7D0",1)</f>
        <v>=DISPIMG("ID_41A809C01623450182A4D5AE58D1E7D0",1)</v>
      </c>
      <c r="B202" s="10">
        <v>1</v>
      </c>
      <c r="C202" s="11" t="str">
        <f>_xlfn.DISPIMG("ID_5672667AE3B942858D26D48B1E1E0E24",1)</f>
        <v>=DISPIMG("ID_5672667AE3B942858D26D48B1E1E0E24",1)</v>
      </c>
      <c r="D202" s="11" t="s">
        <v>46</v>
      </c>
      <c r="E202" s="11" t="s">
        <v>274</v>
      </c>
      <c r="F202" s="12">
        <v>1</v>
      </c>
      <c r="G202" s="12" t="s">
        <v>48</v>
      </c>
      <c r="H202" s="16" t="s">
        <v>169</v>
      </c>
    </row>
    <row r="203" ht="99.75" spans="1:8">
      <c r="A203" s="36"/>
      <c r="B203" s="10">
        <v>2</v>
      </c>
      <c r="C203" s="11" t="str">
        <f>_xlfn.DISPIMG("ID_DA0051345DEE4648AE9253E93BCE008B",1)</f>
        <v>=DISPIMG("ID_DA0051345DEE4648AE9253E93BCE008B",1)</v>
      </c>
      <c r="D203" s="11" t="s">
        <v>105</v>
      </c>
      <c r="E203" s="11" t="s">
        <v>23</v>
      </c>
      <c r="F203" s="12">
        <v>1</v>
      </c>
      <c r="G203" s="12" t="s">
        <v>24</v>
      </c>
      <c r="H203" s="21" t="s">
        <v>106</v>
      </c>
    </row>
    <row r="204" ht="127" customHeight="1" spans="1:8">
      <c r="A204" s="36"/>
      <c r="B204" s="10">
        <v>3</v>
      </c>
      <c r="C204" s="11" t="str">
        <f>_xlfn.DISPIMG("ID_A80F4908A93A477BB342025CA964A2F1",1)</f>
        <v>=DISPIMG("ID_A80F4908A93A477BB342025CA964A2F1",1)</v>
      </c>
      <c r="D204" s="11" t="s">
        <v>99</v>
      </c>
      <c r="E204" s="11" t="s">
        <v>23</v>
      </c>
      <c r="F204" s="12">
        <v>2</v>
      </c>
      <c r="G204" s="12" t="s">
        <v>24</v>
      </c>
      <c r="H204" s="15" t="s">
        <v>275</v>
      </c>
    </row>
    <row r="205" ht="100" customHeight="1" spans="1:8">
      <c r="A205" s="36"/>
      <c r="B205" s="10">
        <v>4</v>
      </c>
      <c r="C205" s="11" t="str">
        <f>_xlfn.DISPIMG("ID_6261D299113E45D4AC49083A907184CA",1)</f>
        <v>=DISPIMG("ID_6261D299113E45D4AC49083A907184CA",1)</v>
      </c>
      <c r="D205" s="11" t="s">
        <v>40</v>
      </c>
      <c r="E205" s="11" t="s">
        <v>33</v>
      </c>
      <c r="F205" s="12">
        <v>1</v>
      </c>
      <c r="G205" s="12" t="s">
        <v>34</v>
      </c>
      <c r="H205" s="20" t="s">
        <v>35</v>
      </c>
    </row>
    <row r="206" ht="142.5" spans="1:8">
      <c r="A206" s="9"/>
      <c r="B206" s="10"/>
      <c r="C206" s="22" t="str">
        <f>_xlfn.DISPIMG("ID_4BE121D32EE34FF1B61932DB8D87856D",1)</f>
        <v>=DISPIMG("ID_4BE121D32EE34FF1B61932DB8D87856D",1)</v>
      </c>
      <c r="D206" s="10" t="s">
        <v>276</v>
      </c>
      <c r="E206" s="15" t="s">
        <v>277</v>
      </c>
      <c r="F206" s="21">
        <v>1</v>
      </c>
      <c r="G206" s="22" t="s">
        <v>48</v>
      </c>
      <c r="H206" s="21" t="s">
        <v>278</v>
      </c>
    </row>
    <row r="207" ht="99.75" spans="1:8">
      <c r="A207" s="9"/>
      <c r="B207" s="10"/>
      <c r="C207" s="22" t="str">
        <f>_xlfn.DISPIMG("ID_A7410ADFB32F4E72B25CDA56919B4AE3",1)</f>
        <v>=DISPIMG("ID_A7410ADFB32F4E72B25CDA56919B4AE3",1)</v>
      </c>
      <c r="D207" s="10" t="s">
        <v>279</v>
      </c>
      <c r="E207" s="15" t="s">
        <v>234</v>
      </c>
      <c r="F207" s="15">
        <v>1</v>
      </c>
      <c r="G207" s="22" t="s">
        <v>48</v>
      </c>
      <c r="H207" s="15" t="s">
        <v>280</v>
      </c>
    </row>
    <row r="208" ht="14.25" spans="1:8">
      <c r="A208" s="36" t="str">
        <f>_xlfn.DISPIMG("ID_80DF280EBF124BA7949A5BCB60FC79FD",1)</f>
        <v>=DISPIMG("ID_80DF280EBF124BA7949A5BCB60FC79FD",1)</v>
      </c>
      <c r="B208" s="18" t="s">
        <v>281</v>
      </c>
      <c r="C208" s="18"/>
      <c r="D208" s="18"/>
      <c r="E208" s="18"/>
      <c r="F208" s="18"/>
      <c r="G208" s="18"/>
      <c r="H208" s="19"/>
    </row>
    <row r="209" ht="408" customHeight="1" spans="1:8">
      <c r="A209" s="36"/>
      <c r="B209" s="41">
        <v>1</v>
      </c>
      <c r="C209" s="11" t="str">
        <f>_xlfn.DISPIMG("ID_88876C8C7E0A4F03A641C760926A340A",1)</f>
        <v>=DISPIMG("ID_88876C8C7E0A4F03A641C760926A340A",1)</v>
      </c>
      <c r="D209" s="11" t="s">
        <v>282</v>
      </c>
      <c r="E209" s="11" t="s">
        <v>283</v>
      </c>
      <c r="F209" s="12">
        <v>80</v>
      </c>
      <c r="G209" s="12" t="s">
        <v>284</v>
      </c>
      <c r="H209" s="15" t="s">
        <v>285</v>
      </c>
    </row>
    <row r="210" ht="14.25" spans="1:8">
      <c r="A210" s="9"/>
      <c r="B210" s="18" t="s">
        <v>286</v>
      </c>
      <c r="C210" s="18"/>
      <c r="D210" s="18"/>
      <c r="E210" s="18"/>
      <c r="F210" s="18"/>
      <c r="G210" s="18"/>
      <c r="H210" s="19"/>
    </row>
    <row r="211" ht="104" customHeight="1" spans="1:8">
      <c r="A211" s="36" t="str">
        <f>_xlfn.DISPIMG("ID_F53E82C0EAD241E79ED4F70B8157B0A6",1)</f>
        <v>=DISPIMG("ID_F53E82C0EAD241E79ED4F70B8157B0A6",1)</v>
      </c>
      <c r="B211" s="10">
        <v>1</v>
      </c>
      <c r="C211" s="11" t="str">
        <f>_xlfn.DISPIMG("ID_620CE3C022BC4B979986971B5EAA60BD",1)</f>
        <v>=DISPIMG("ID_620CE3C022BC4B979986971B5EAA60BD",1)</v>
      </c>
      <c r="D211" s="11" t="s">
        <v>287</v>
      </c>
      <c r="E211" s="12" t="s">
        <v>288</v>
      </c>
      <c r="F211" s="12">
        <v>1</v>
      </c>
      <c r="G211" s="12" t="s">
        <v>65</v>
      </c>
      <c r="H211" s="53" t="s">
        <v>289</v>
      </c>
    </row>
    <row r="212" ht="99.75" spans="1:8">
      <c r="A212" s="36"/>
      <c r="B212" s="10">
        <v>2</v>
      </c>
      <c r="C212" s="11" t="str">
        <f>_xlfn.DISPIMG("ID_21E3A578C76E4A2484F6EB70D37CEC35",1)</f>
        <v>=DISPIMG("ID_21E3A578C76E4A2484F6EB70D37CEC35",1)</v>
      </c>
      <c r="D212" s="22" t="s">
        <v>279</v>
      </c>
      <c r="E212" s="54" t="s">
        <v>290</v>
      </c>
      <c r="F212" s="12">
        <v>3</v>
      </c>
      <c r="G212" s="12" t="s">
        <v>11</v>
      </c>
      <c r="H212" s="55" t="s">
        <v>291</v>
      </c>
    </row>
    <row r="213" ht="14.25" spans="1:8">
      <c r="A213" s="9"/>
      <c r="B213" s="13" t="s">
        <v>292</v>
      </c>
      <c r="C213" s="13"/>
      <c r="D213" s="13"/>
      <c r="E213" s="13"/>
      <c r="F213" s="13"/>
      <c r="G213" s="13"/>
      <c r="H213" s="14"/>
    </row>
    <row r="214" ht="71.25" spans="1:8">
      <c r="A214" s="9" t="str">
        <f>_xlfn.DISPIMG("ID_49279780901A48A399B76F455FBC0FBB",1)</f>
        <v>=DISPIMG("ID_49279780901A48A399B76F455FBC0FBB",1)</v>
      </c>
      <c r="B214" s="10">
        <v>1</v>
      </c>
      <c r="C214" s="11" t="str">
        <f>_xlfn.DISPIMG("ID_EA7EEE9F64404B0FB30C813D65D6E1E3",1)</f>
        <v>=DISPIMG("ID_EA7EEE9F64404B0FB30C813D65D6E1E3",1)</v>
      </c>
      <c r="D214" s="11" t="s">
        <v>293</v>
      </c>
      <c r="E214" s="11" t="s">
        <v>113</v>
      </c>
      <c r="F214" s="12">
        <v>4</v>
      </c>
      <c r="G214" s="12" t="s">
        <v>65</v>
      </c>
      <c r="H214" s="16" t="s">
        <v>169</v>
      </c>
    </row>
    <row r="215" ht="114" spans="1:8">
      <c r="A215" s="9"/>
      <c r="B215" s="10">
        <v>2</v>
      </c>
      <c r="C215" s="11" t="str">
        <f>_xlfn.DISPIMG("ID_1C63477CD5D048F2B91A530257D656A6",1)</f>
        <v>=DISPIMG("ID_1C63477CD5D048F2B91A530257D656A6",1)</v>
      </c>
      <c r="D215" s="11" t="s">
        <v>31</v>
      </c>
      <c r="E215" s="11" t="s">
        <v>107</v>
      </c>
      <c r="F215" s="12">
        <v>16</v>
      </c>
      <c r="G215" s="12" t="s">
        <v>24</v>
      </c>
      <c r="H215" s="21" t="s">
        <v>128</v>
      </c>
    </row>
    <row r="216" ht="14.25" spans="1:8">
      <c r="A216" s="9"/>
      <c r="B216" s="13" t="s">
        <v>294</v>
      </c>
      <c r="C216" s="13"/>
      <c r="D216" s="13"/>
      <c r="E216" s="13"/>
      <c r="F216" s="13"/>
      <c r="G216" s="13"/>
      <c r="H216" s="14"/>
    </row>
    <row r="217" ht="316" customHeight="1" spans="1:8">
      <c r="A217" s="9" t="str">
        <f>_xlfn.DISPIMG("ID_0F1652AA5CB84BA385951025F1CF028D",1)</f>
        <v>=DISPIMG("ID_0F1652AA5CB84BA385951025F1CF028D",1)</v>
      </c>
      <c r="B217" s="10">
        <v>1</v>
      </c>
      <c r="C217" s="11" t="str">
        <f>_xlfn.DISPIMG("ID_A7757F4CC6164ECA8F0B0538AE1DFFDB",1)</f>
        <v>=DISPIMG("ID_A7757F4CC6164ECA8F0B0538AE1DFFDB",1)</v>
      </c>
      <c r="D217" s="11" t="s">
        <v>295</v>
      </c>
      <c r="E217" s="11" t="s">
        <v>296</v>
      </c>
      <c r="F217" s="12">
        <v>2</v>
      </c>
      <c r="G217" s="12" t="s">
        <v>65</v>
      </c>
      <c r="H217" s="15" t="s">
        <v>297</v>
      </c>
    </row>
    <row r="218" ht="156.75" spans="1:8">
      <c r="A218" s="9"/>
      <c r="B218" s="10">
        <v>2</v>
      </c>
      <c r="C218" s="11" t="str">
        <f>_xlfn.DISPIMG("ID_45347852020043C3AF5D1CB342459CC4",1)</f>
        <v>=DISPIMG("ID_45347852020043C3AF5D1CB342459CC4",1)</v>
      </c>
      <c r="D218" s="11" t="s">
        <v>298</v>
      </c>
      <c r="E218" s="11" t="s">
        <v>299</v>
      </c>
      <c r="F218" s="12">
        <v>8</v>
      </c>
      <c r="G218" s="12" t="s">
        <v>48</v>
      </c>
      <c r="H218" s="15" t="s">
        <v>300</v>
      </c>
    </row>
    <row r="219" ht="14.25" spans="1:8">
      <c r="A219" s="9"/>
      <c r="B219" s="13" t="s">
        <v>301</v>
      </c>
      <c r="C219" s="13"/>
      <c r="D219" s="13"/>
      <c r="E219" s="13"/>
      <c r="F219" s="13"/>
      <c r="G219" s="13"/>
      <c r="H219" s="14"/>
    </row>
    <row r="220" ht="122.5" spans="1:8">
      <c r="A220" s="36"/>
      <c r="B220" s="10">
        <v>3</v>
      </c>
      <c r="C220" s="42" t="str">
        <f>_xlfn.DISPIMG("ID_C109B803410846BA9DFD9E5BFC797BA2",1)</f>
        <v>=DISPIMG("ID_C109B803410846BA9DFD9E5BFC797BA2",1)</v>
      </c>
      <c r="D220" s="11" t="s">
        <v>302</v>
      </c>
      <c r="E220" s="11" t="s">
        <v>303</v>
      </c>
      <c r="F220" s="40">
        <v>4</v>
      </c>
      <c r="G220" s="42" t="s">
        <v>48</v>
      </c>
      <c r="H220" s="43" t="s">
        <v>304</v>
      </c>
    </row>
    <row r="221" ht="82" customHeight="1" spans="1:8">
      <c r="A221" s="9"/>
      <c r="B221" s="10">
        <v>4</v>
      </c>
      <c r="C221" s="42" t="str">
        <f>_xlfn.DISPIMG("ID_7E521F507BB14B528680AC173DB318EE",1)</f>
        <v>=DISPIMG("ID_7E521F507BB14B528680AC173DB318EE",1)</v>
      </c>
      <c r="D221" s="11" t="s">
        <v>305</v>
      </c>
      <c r="E221" s="11" t="s">
        <v>306</v>
      </c>
      <c r="F221" s="40">
        <v>2</v>
      </c>
      <c r="G221" s="42" t="s">
        <v>48</v>
      </c>
      <c r="H221" s="16" t="s">
        <v>21</v>
      </c>
    </row>
    <row r="222" ht="14.25" spans="1:8">
      <c r="A222" s="9"/>
      <c r="B222" s="18" t="s">
        <v>307</v>
      </c>
      <c r="C222" s="18"/>
      <c r="D222" s="18"/>
      <c r="E222" s="18"/>
      <c r="F222" s="18"/>
      <c r="G222" s="18"/>
      <c r="H222" s="19"/>
    </row>
    <row r="223" ht="113" customHeight="1" spans="1:8">
      <c r="A223" s="36"/>
      <c r="B223" s="56">
        <v>1</v>
      </c>
      <c r="C223" s="57" t="str">
        <f>_xlfn.DISPIMG("ID_E73893127B4D4251AE9B9B4DA50871ED",1)</f>
        <v>=DISPIMG("ID_E73893127B4D4251AE9B9B4DA50871ED",1)</v>
      </c>
      <c r="D223" s="57" t="s">
        <v>231</v>
      </c>
      <c r="E223" s="58" t="s">
        <v>308</v>
      </c>
      <c r="F223" s="58">
        <v>4</v>
      </c>
      <c r="G223" s="58" t="s">
        <v>11</v>
      </c>
      <c r="H223" s="43" t="s">
        <v>309</v>
      </c>
    </row>
    <row r="224" ht="174" customHeight="1" spans="1:8">
      <c r="A224" s="36"/>
      <c r="B224" s="56">
        <v>2</v>
      </c>
      <c r="C224" s="57" t="str">
        <f>_xlfn.DISPIMG("ID_D94E8798A4C2421397A6C9F8E73EB202",1)</f>
        <v>=DISPIMG("ID_D94E8798A4C2421397A6C9F8E73EB202",1)</v>
      </c>
      <c r="D224" s="57" t="s">
        <v>310</v>
      </c>
      <c r="E224" s="58" t="s">
        <v>311</v>
      </c>
      <c r="F224" s="58">
        <v>4</v>
      </c>
      <c r="G224" s="58" t="s">
        <v>11</v>
      </c>
      <c r="H224" s="43" t="s">
        <v>312</v>
      </c>
    </row>
    <row r="225" ht="142.5" spans="1:8">
      <c r="A225" s="36"/>
      <c r="B225" s="56">
        <v>3</v>
      </c>
      <c r="C225" s="57" t="str">
        <f>_xlfn.DISPIMG("ID_07D7665B76674C09AEEFD7C2BD88A045",1)</f>
        <v>=DISPIMG("ID_07D7665B76674C09AEEFD7C2BD88A045",1)</v>
      </c>
      <c r="D225" s="57" t="s">
        <v>313</v>
      </c>
      <c r="E225" s="58" t="s">
        <v>314</v>
      </c>
      <c r="F225" s="58">
        <v>4</v>
      </c>
      <c r="G225" s="58" t="s">
        <v>11</v>
      </c>
      <c r="H225" s="43" t="s">
        <v>315</v>
      </c>
    </row>
    <row r="226" ht="106" customHeight="1" spans="1:8">
      <c r="A226" s="9"/>
      <c r="B226" s="56">
        <v>4</v>
      </c>
      <c r="C226" s="57" t="str">
        <f>_xlfn.DISPIMG("ID_EE5AA36393C6470DB40DB1EC899371A0",1)</f>
        <v>=DISPIMG("ID_EE5AA36393C6470DB40DB1EC899371A0",1)</v>
      </c>
      <c r="D226" s="57" t="s">
        <v>313</v>
      </c>
      <c r="E226" s="58" t="s">
        <v>316</v>
      </c>
      <c r="F226" s="58">
        <v>4</v>
      </c>
      <c r="G226" s="58" t="s">
        <v>11</v>
      </c>
      <c r="H226" s="43" t="s">
        <v>304</v>
      </c>
    </row>
    <row r="227" ht="14.25" spans="1:8">
      <c r="A227" s="9"/>
      <c r="B227" s="13" t="s">
        <v>317</v>
      </c>
      <c r="C227" s="13"/>
      <c r="D227" s="13"/>
      <c r="E227" s="13"/>
      <c r="F227" s="13"/>
      <c r="G227" s="13"/>
      <c r="H227" s="14"/>
    </row>
    <row r="228" ht="114" customHeight="1" spans="1:8">
      <c r="A228" s="36"/>
      <c r="B228" s="10">
        <v>1</v>
      </c>
      <c r="C228" s="59" t="str">
        <f>_xlfn.DISPIMG("ID_D82653BAC7D4455F90858E3A3976EEDD",1)</f>
        <v>=DISPIMG("ID_D82653BAC7D4455F90858E3A3976EEDD",1)</v>
      </c>
      <c r="D228" s="11" t="s">
        <v>151</v>
      </c>
      <c r="E228" s="22" t="s">
        <v>152</v>
      </c>
      <c r="F228" s="26">
        <v>4</v>
      </c>
      <c r="G228" s="26" t="s">
        <v>11</v>
      </c>
      <c r="H228" s="15" t="s">
        <v>318</v>
      </c>
    </row>
    <row r="229" ht="99.75" spans="1:8">
      <c r="A229" s="36"/>
      <c r="B229" s="10">
        <v>2</v>
      </c>
      <c r="C229" s="59"/>
      <c r="D229" s="11"/>
      <c r="E229" s="22" t="s">
        <v>319</v>
      </c>
      <c r="F229" s="26">
        <v>4</v>
      </c>
      <c r="G229" s="26" t="s">
        <v>11</v>
      </c>
      <c r="H229" s="15" t="s">
        <v>320</v>
      </c>
    </row>
    <row r="230" ht="99.75" spans="1:8">
      <c r="A230" s="36"/>
      <c r="B230" s="10">
        <v>3</v>
      </c>
      <c r="C230" s="30" t="str">
        <f>_xlfn.DISPIMG("ID_5C9066243B1247009D656219DF1A72DE",1)</f>
        <v>=DISPIMG("ID_5C9066243B1247009D656219DF1A72DE",1)</v>
      </c>
      <c r="D230" s="11" t="s">
        <v>154</v>
      </c>
      <c r="E230" s="22" t="s">
        <v>321</v>
      </c>
      <c r="F230" s="26">
        <v>16</v>
      </c>
      <c r="G230" s="26" t="s">
        <v>11</v>
      </c>
      <c r="H230" s="15" t="s">
        <v>322</v>
      </c>
    </row>
    <row r="231" ht="119.4" spans="1:8">
      <c r="A231" s="36"/>
      <c r="B231" s="10">
        <v>4</v>
      </c>
      <c r="C231" s="30" t="str">
        <f>_xlfn.DISPIMG("ID_C64F3E90950F4DF987179F495B214387",1)</f>
        <v>=DISPIMG("ID_C64F3E90950F4DF987179F495B214387",1)</v>
      </c>
      <c r="D231" s="11" t="s">
        <v>157</v>
      </c>
      <c r="E231" s="22" t="s">
        <v>323</v>
      </c>
      <c r="F231" s="26">
        <v>6</v>
      </c>
      <c r="G231" s="26" t="s">
        <v>34</v>
      </c>
      <c r="H231" s="15" t="s">
        <v>322</v>
      </c>
    </row>
    <row r="232" ht="114" spans="1:8">
      <c r="A232" s="9"/>
      <c r="B232" s="10">
        <v>5</v>
      </c>
      <c r="C232" s="30" t="str">
        <f>_xlfn.DISPIMG("ID_F4330A5E75B44D7F93845FB4455D03A4",1)</f>
        <v>=DISPIMG("ID_F4330A5E75B44D7F93845FB4455D03A4",1)</v>
      </c>
      <c r="D232" s="11" t="s">
        <v>159</v>
      </c>
      <c r="E232" s="22" t="s">
        <v>324</v>
      </c>
      <c r="F232" s="26">
        <v>6</v>
      </c>
      <c r="G232" s="26" t="s">
        <v>11</v>
      </c>
      <c r="H232" s="15" t="s">
        <v>325</v>
      </c>
    </row>
    <row r="233" ht="108" customHeight="1" spans="1:8">
      <c r="A233" s="9"/>
      <c r="B233" s="10">
        <v>6</v>
      </c>
      <c r="C233" s="39" t="str">
        <f>_xlfn.DISPIMG("ID_8871649C72CE4944A90FB8BEBC01921D",1)</f>
        <v>=DISPIMG("ID_8871649C72CE4944A90FB8BEBC01921D",1)</v>
      </c>
      <c r="D233" s="39" t="s">
        <v>175</v>
      </c>
      <c r="E233" s="22" t="s">
        <v>182</v>
      </c>
      <c r="F233" s="26">
        <v>6</v>
      </c>
      <c r="G233" s="26" t="s">
        <v>24</v>
      </c>
      <c r="H233" s="15" t="s">
        <v>183</v>
      </c>
    </row>
    <row r="234" s="1" customFormat="1" ht="99.75" spans="1:8">
      <c r="A234" s="9"/>
      <c r="B234" s="10">
        <v>7</v>
      </c>
      <c r="C234" s="39" t="str">
        <f>_xlfn.DISPIMG("ID_66DD742367724A669DFB8D818D836842",1)</f>
        <v>=DISPIMG("ID_66DD742367724A669DFB8D818D836842",1)</v>
      </c>
      <c r="D234" s="40" t="s">
        <v>252</v>
      </c>
      <c r="E234" s="40" t="s">
        <v>253</v>
      </c>
      <c r="F234" s="26">
        <v>2</v>
      </c>
      <c r="G234" s="26" t="s">
        <v>65</v>
      </c>
      <c r="H234" s="21" t="s">
        <v>254</v>
      </c>
    </row>
    <row r="235" s="1" customFormat="1" ht="88.35" spans="1:8">
      <c r="A235" s="9"/>
      <c r="B235" s="10">
        <v>8</v>
      </c>
      <c r="C235" s="39" t="str">
        <f>_xlfn.DISPIMG("ID_BA9F07BA63204A18B402E29162DE7B02",1)</f>
        <v>=DISPIMG("ID_BA9F07BA63204A18B402E29162DE7B02",1)</v>
      </c>
      <c r="D235" s="11" t="s">
        <v>326</v>
      </c>
      <c r="E235" s="22" t="s">
        <v>327</v>
      </c>
      <c r="F235" s="26">
        <v>5</v>
      </c>
      <c r="G235" s="26" t="s">
        <v>34</v>
      </c>
      <c r="H235" s="21" t="s">
        <v>219</v>
      </c>
    </row>
  </sheetData>
  <mergeCells count="77">
    <mergeCell ref="B1:H1"/>
    <mergeCell ref="B3:H3"/>
    <mergeCell ref="B9:H9"/>
    <mergeCell ref="B14:H14"/>
    <mergeCell ref="B19:H19"/>
    <mergeCell ref="B21:H21"/>
    <mergeCell ref="B25:H25"/>
    <mergeCell ref="B30:H30"/>
    <mergeCell ref="B34:H34"/>
    <mergeCell ref="B39:H39"/>
    <mergeCell ref="B45:H45"/>
    <mergeCell ref="B52:H52"/>
    <mergeCell ref="B57:H57"/>
    <mergeCell ref="B64:H64"/>
    <mergeCell ref="B69:H69"/>
    <mergeCell ref="B73:H73"/>
    <mergeCell ref="B78:H78"/>
    <mergeCell ref="B82:H82"/>
    <mergeCell ref="B87:H87"/>
    <mergeCell ref="B92:H92"/>
    <mergeCell ref="B93:H93"/>
    <mergeCell ref="B98:H98"/>
    <mergeCell ref="B105:H105"/>
    <mergeCell ref="B107:H107"/>
    <mergeCell ref="B110:H110"/>
    <mergeCell ref="B115:H115"/>
    <mergeCell ref="B123:H123"/>
    <mergeCell ref="B129:H129"/>
    <mergeCell ref="B132:H132"/>
    <mergeCell ref="B135:H135"/>
    <mergeCell ref="B143:H143"/>
    <mergeCell ref="B152:H152"/>
    <mergeCell ref="B156:H156"/>
    <mergeCell ref="B160:H160"/>
    <mergeCell ref="B162:H162"/>
    <mergeCell ref="B164:H164"/>
    <mergeCell ref="B173:H173"/>
    <mergeCell ref="B178:H178"/>
    <mergeCell ref="B187:H187"/>
    <mergeCell ref="B189:H189"/>
    <mergeCell ref="B191:H191"/>
    <mergeCell ref="B197:H197"/>
    <mergeCell ref="B201:H201"/>
    <mergeCell ref="B208:H208"/>
    <mergeCell ref="B210:H210"/>
    <mergeCell ref="B213:H213"/>
    <mergeCell ref="B216:H216"/>
    <mergeCell ref="B219:H219"/>
    <mergeCell ref="B222:H222"/>
    <mergeCell ref="B227:H227"/>
    <mergeCell ref="A52:A53"/>
    <mergeCell ref="A58:A61"/>
    <mergeCell ref="A94:A97"/>
    <mergeCell ref="A111:A112"/>
    <mergeCell ref="A113:A114"/>
    <mergeCell ref="A124:A127"/>
    <mergeCell ref="A130:A131"/>
    <mergeCell ref="A144:A151"/>
    <mergeCell ref="A153:A155"/>
    <mergeCell ref="A160:A161"/>
    <mergeCell ref="A165:A168"/>
    <mergeCell ref="A174:A175"/>
    <mergeCell ref="A182:A183"/>
    <mergeCell ref="A189:A190"/>
    <mergeCell ref="A198:A200"/>
    <mergeCell ref="A202:A205"/>
    <mergeCell ref="A208:A209"/>
    <mergeCell ref="A211:A212"/>
    <mergeCell ref="A223:A225"/>
    <mergeCell ref="A228:A231"/>
    <mergeCell ref="C4:C5"/>
    <mergeCell ref="C169:C170"/>
    <mergeCell ref="C179:C180"/>
    <mergeCell ref="C192:C193"/>
    <mergeCell ref="C228:C229"/>
    <mergeCell ref="D179:D180"/>
    <mergeCell ref="D228:D229"/>
  </mergeCells>
  <pageMargins left="0.700694444444445" right="0.700694444444445" top="0.751388888888889" bottom="0.751388888888889" header="0.298611111111111" footer="0.298611111111111"/>
  <pageSetup paperSize="9" scale="77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工作</cp:lastModifiedBy>
  <dcterms:created xsi:type="dcterms:W3CDTF">2023-05-13T03:15:00Z</dcterms:created>
  <dcterms:modified xsi:type="dcterms:W3CDTF">2026-06-11T08:11:47Z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B8786519F49342E7BF3853AD31F0C6E6_13</vt:lpwstr>
  </property>
  <property fmtid="{D5CDD505-2E9C-101B-9397-08002B2CF9AE}" pid="4" name="CalculationRule">
    <vt:i4>0</vt:i4>
  </property>
</Properties>
</file>